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C:\Users\jonbr\Downloads\07. November\Finance\"/>
    </mc:Choice>
  </mc:AlternateContent>
  <xr:revisionPtr revIDLastSave="0" documentId="8_{93B5205A-E01D-45D0-874E-7B5058C7CA6B}" xr6:coauthVersionLast="47" xr6:coauthVersionMax="47" xr10:uidLastSave="{00000000-0000-0000-0000-000000000000}"/>
  <bookViews>
    <workbookView xWindow="-120" yWindow="-120" windowWidth="33840" windowHeight="20520" xr2:uid="{B141BDBB-F6E0-4B3C-9565-60991E630C3E}"/>
  </bookViews>
  <sheets>
    <sheet name="26-27 budget" sheetId="6" r:id="rId1"/>
    <sheet name="Summary" sheetId="10" r:id="rId2"/>
    <sheet name="Renumeration V3" sheetId="8" r:id="rId3"/>
    <sheet name="Reserves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0" l="1"/>
  <c r="C10" i="10"/>
  <c r="D10" i="10"/>
  <c r="B10" i="10"/>
  <c r="G63" i="6"/>
  <c r="G57" i="6"/>
  <c r="G53" i="6"/>
  <c r="G39" i="6"/>
  <c r="G49" i="6"/>
  <c r="G31" i="6"/>
  <c r="F26" i="9"/>
  <c r="F27" i="9"/>
  <c r="F28" i="9"/>
  <c r="F29" i="9"/>
  <c r="F30" i="9"/>
  <c r="F31" i="9"/>
  <c r="F32" i="9"/>
  <c r="F33" i="9"/>
  <c r="F25" i="9"/>
  <c r="J15" i="9"/>
  <c r="E33" i="9"/>
  <c r="L2" i="9"/>
  <c r="L3" i="9" s="1"/>
  <c r="L4" i="9" s="1"/>
  <c r="L6" i="9" s="1"/>
  <c r="L5" i="9" s="1"/>
  <c r="L7" i="9" s="1"/>
  <c r="E30" i="9"/>
  <c r="L8" i="9"/>
  <c r="L9" i="9" s="1"/>
  <c r="L10" i="9" s="1"/>
  <c r="L11" i="9" s="1"/>
  <c r="L12" i="9" s="1"/>
  <c r="L13" i="9" s="1"/>
  <c r="L14" i="9" s="1"/>
  <c r="H39" i="6"/>
  <c r="H60" i="6"/>
  <c r="I60" i="6" s="1"/>
  <c r="E26" i="8"/>
  <c r="B26" i="8"/>
  <c r="E22" i="8"/>
  <c r="E21" i="8"/>
  <c r="E7" i="8"/>
  <c r="E15" i="8"/>
  <c r="E13" i="8"/>
  <c r="E11" i="8"/>
  <c r="E23" i="8"/>
  <c r="E16" i="8"/>
  <c r="E8" i="8"/>
  <c r="B23" i="8"/>
  <c r="B22" i="8"/>
  <c r="K21" i="8"/>
  <c r="G21" i="8"/>
  <c r="D21" i="8"/>
  <c r="D22" i="8" s="1"/>
  <c r="D23" i="8" s="1"/>
  <c r="B20" i="8"/>
  <c r="B19" i="8" s="1"/>
  <c r="H19" i="8" s="1"/>
  <c r="K19" i="8"/>
  <c r="G15" i="8"/>
  <c r="G14" i="8"/>
  <c r="G16" i="8" s="1"/>
  <c r="D15" i="8"/>
  <c r="D16" i="8" s="1"/>
  <c r="B15" i="8"/>
  <c r="B16" i="8" s="1"/>
  <c r="B25" i="8" s="1"/>
  <c r="G13" i="8"/>
  <c r="D13" i="8"/>
  <c r="B13" i="8"/>
  <c r="B8" i="8"/>
  <c r="B7" i="8"/>
  <c r="B6" i="8"/>
  <c r="G5" i="8"/>
  <c r="H6" i="8" s="1"/>
  <c r="D5" i="8"/>
  <c r="D7" i="8" s="1"/>
  <c r="K3" i="8"/>
  <c r="K5" i="8" s="1"/>
  <c r="H3" i="8"/>
  <c r="K11" i="8" s="1"/>
  <c r="K13" i="8" s="1"/>
  <c r="I62" i="6"/>
  <c r="I61" i="6"/>
  <c r="I56" i="6"/>
  <c r="I52" i="6"/>
  <c r="I46" i="6"/>
  <c r="I44" i="6"/>
  <c r="I42" i="6"/>
  <c r="I27" i="6"/>
  <c r="I26" i="6"/>
  <c r="I25" i="6"/>
  <c r="I24" i="6"/>
  <c r="I23" i="6"/>
  <c r="I22" i="6"/>
  <c r="I20" i="6"/>
  <c r="I19" i="6"/>
  <c r="I18" i="6"/>
  <c r="I17" i="6"/>
  <c r="I15" i="6"/>
  <c r="I14" i="6"/>
  <c r="D4" i="6"/>
  <c r="H21" i="6"/>
  <c r="I57" i="6"/>
  <c r="D11" i="6"/>
  <c r="C11" i="6"/>
  <c r="H48" i="6"/>
  <c r="I48" i="6" s="1"/>
  <c r="H45" i="6"/>
  <c r="H29" i="6"/>
  <c r="F63" i="6"/>
  <c r="F57" i="6"/>
  <c r="J57" i="6" s="1"/>
  <c r="F53" i="6"/>
  <c r="I53" i="6" s="1"/>
  <c r="F49" i="6"/>
  <c r="F39" i="6"/>
  <c r="F31" i="6"/>
  <c r="F65" i="6" s="1"/>
  <c r="G65" i="6" l="1"/>
  <c r="H49" i="6"/>
  <c r="J49" i="6" s="1"/>
  <c r="J39" i="6"/>
  <c r="H31" i="6"/>
  <c r="I45" i="6"/>
  <c r="J53" i="6"/>
  <c r="I39" i="6"/>
  <c r="H63" i="6"/>
  <c r="J63" i="6" s="1"/>
  <c r="I63" i="6"/>
  <c r="K14" i="8"/>
  <c r="K16" i="8" s="1"/>
  <c r="K15" i="8"/>
  <c r="K7" i="8"/>
  <c r="K6" i="8"/>
  <c r="K8" i="8"/>
  <c r="K23" i="8"/>
  <c r="D6" i="8"/>
  <c r="D8" i="8" s="1"/>
  <c r="D25" i="8" s="1"/>
  <c r="E25" i="8" s="1"/>
  <c r="G6" i="8"/>
  <c r="I6" i="8" s="1"/>
  <c r="G22" i="8"/>
  <c r="G23" i="8" s="1"/>
  <c r="K22" i="8"/>
  <c r="G7" i="8"/>
  <c r="I49" i="6" l="1"/>
  <c r="H65" i="6"/>
  <c r="I65" i="6" s="1"/>
  <c r="J31" i="6"/>
  <c r="G8" i="8"/>
  <c r="G25" i="8" s="1"/>
  <c r="K25" i="8"/>
  <c r="E4" i="6"/>
  <c r="F4" i="6" s="1"/>
  <c r="I31" i="6"/>
  <c r="I66" i="6" l="1"/>
  <c r="I68" i="6"/>
  <c r="I69" i="6"/>
  <c r="I70" i="6"/>
  <c r="I67" i="6"/>
  <c r="K27" i="8"/>
  <c r="L27" i="8" s="1"/>
  <c r="K26" i="8"/>
  <c r="L26" i="8" s="1"/>
  <c r="H25" i="8"/>
  <c r="G26" i="8"/>
  <c r="H26" i="8" s="1"/>
  <c r="H4" i="6" l="1"/>
  <c r="E11" i="6"/>
</calcChain>
</file>

<file path=xl/sharedStrings.xml><?xml version="1.0" encoding="utf-8"?>
<sst xmlns="http://schemas.openxmlformats.org/spreadsheetml/2006/main" count="334" uniqueCount="208">
  <si>
    <t>Receipts</t>
  </si>
  <si>
    <t>Payments</t>
  </si>
  <si>
    <t>01 Income</t>
  </si>
  <si>
    <t>Budget CFY</t>
  </si>
  <si>
    <t>Actual</t>
  </si>
  <si>
    <t>26-27</t>
  </si>
  <si>
    <t>variance</t>
  </si>
  <si>
    <t>increase</t>
  </si>
  <si>
    <t>Precept</t>
  </si>
  <si>
    <t>funding professional fees, staffing costs, infant youth club, defibrillators &amp; generally help maintain reserves.</t>
  </si>
  <si>
    <t>Deposit account interest</t>
  </si>
  <si>
    <t>Not budgeted</t>
  </si>
  <si>
    <t>Grants/donations received</t>
  </si>
  <si>
    <t>CFY for bus stops, none forseen, focus needed for CAPEX projects.</t>
  </si>
  <si>
    <t>Burial income</t>
  </si>
  <si>
    <t>Other income</t>
  </si>
  <si>
    <t>Father brown confirmed</t>
  </si>
  <si>
    <t>CIL</t>
  </si>
  <si>
    <t>VAT 126</t>
  </si>
  <si>
    <t>Budget on net expenditure</t>
  </si>
  <si>
    <t>SUB TOTAL</t>
  </si>
  <si>
    <t>02 Administration</t>
  </si>
  <si>
    <t>Budget 25-26 FY</t>
  </si>
  <si>
    <t>Actual YTD</t>
  </si>
  <si>
    <t>Proposed 26-27</t>
  </si>
  <si>
    <t>Chair's allowance</t>
  </si>
  <si>
    <t>Member's allowance</t>
  </si>
  <si>
    <t>Member's expenses</t>
  </si>
  <si>
    <t>nil</t>
  </si>
  <si>
    <t>Stationary/promotion/promotion</t>
  </si>
  <si>
    <t>retained for ink cartirdges, CFY payments from NDP printing costs</t>
  </si>
  <si>
    <t>Staff mileage</t>
  </si>
  <si>
    <t>mileage increasing this year (not previously claimed)</t>
  </si>
  <si>
    <t>Subscriptions &amp; Memberships</t>
  </si>
  <si>
    <t>retained</t>
  </si>
  <si>
    <t>IT &amp; software</t>
  </si>
  <si>
    <t>Budgeted for full council complement &amp; ootential additional training requirements.</t>
  </si>
  <si>
    <t>Website</t>
  </si>
  <si>
    <t>new</t>
  </si>
  <si>
    <t>£330 for netwise hosting £235 for cloudy domain (renewal via alternate vendor, previous wix every 3years)</t>
  </si>
  <si>
    <t>Phone/broadband</t>
  </si>
  <si>
    <t>Sundry expenses</t>
  </si>
  <si>
    <t>Hall rental</t>
  </si>
  <si>
    <t>Public liability insurance</t>
  </si>
  <si>
    <t>locked in - adjusted for reinstatement values reviewed on SGH &amp; Jubilee halls</t>
  </si>
  <si>
    <t>Professional fees/Bank Charges/Audit</t>
  </si>
  <si>
    <t>reserves in CFY, but review needed +additional future costs on Neighbourhood plan - anticipated single annual request
CFY: 10k reserves expenditure, 8k budget increase</t>
  </si>
  <si>
    <t>Payroll services inc. Software</t>
  </si>
  <si>
    <t>YPM £60/mth</t>
  </si>
  <si>
    <t>Election costs</t>
  </si>
  <si>
    <t>Community Speed Watch Group /Camera</t>
  </si>
  <si>
    <t>70p per letter x10/week +£179 for subscription (previously un budgeted)</t>
  </si>
  <si>
    <t>Furniture &amp; Furnishings</t>
  </si>
  <si>
    <t>03 Parish Grounds Services</t>
  </si>
  <si>
    <t xml:space="preserve">Budgeted </t>
  </si>
  <si>
    <t>Parish grounds - repairs &amp; maintenance</t>
  </si>
  <si>
    <t>retained (reserves trees expenditure in CFY)</t>
  </si>
  <si>
    <t>Grounds contract (TF)</t>
  </si>
  <si>
    <t>Confirmed Fixed for 26/27 FY</t>
  </si>
  <si>
    <t>Additional grounds care</t>
  </si>
  <si>
    <t>reserves transfers &amp; cil/bus stops in CFY exceeding CC</t>
  </si>
  <si>
    <t>NEW</t>
  </si>
  <si>
    <t>Defibrilator upkeep</t>
  </si>
  <si>
    <t>batteries &amp; pads, not previously budgeted.</t>
  </si>
  <si>
    <t>Grounds sundries expenses</t>
  </si>
  <si>
    <t>retained - CFY SGH payments exceeding but receipts to cancel out.</t>
  </si>
  <si>
    <t>04 Youth &amp; Recreation</t>
  </si>
  <si>
    <t>Play areas - repairs and maintenance</t>
  </si>
  <si>
    <t>Youth/recreation reserve expenditure</t>
  </si>
  <si>
    <t>Annual play area inspections</t>
  </si>
  <si>
    <t>nominal increase</t>
  </si>
  <si>
    <t>Youth Club contract inc. Hire</t>
  </si>
  <si>
    <t>infants added - NB attendance rates impact Jnr vs SNR not realised PFY.</t>
  </si>
  <si>
    <t>Ad hoc Recreation Activities</t>
  </si>
  <si>
    <t>Parish Events</t>
  </si>
  <si>
    <t>remembrance day, fair, VE Day, previously unbudgeted</t>
  </si>
  <si>
    <t>Hall Hire</t>
  </si>
  <si>
    <t>£720 approved for brownies @£10/hr LVH</t>
  </si>
  <si>
    <t>05 Burial Grounds</t>
  </si>
  <si>
    <t>Burial grounds - repairs &amp; maintenance</t>
  </si>
  <si>
    <t>Retained, tree works reserves expenditure CFY.</t>
  </si>
  <si>
    <t>06 S137 Grants</t>
  </si>
  <si>
    <t>S137 Grants</t>
  </si>
  <si>
    <t xml:space="preserve">Note: allowed £11.10 per elector FY 25-26, 1,600 count </t>
  </si>
  <si>
    <t>07 Staff &amp; Training</t>
  </si>
  <si>
    <t>Pay/NI/PAYE</t>
  </si>
  <si>
    <r>
      <t xml:space="preserve">modelled on CFY NALC increases and payroll adjustments, 10% pensions
NB AC increased impact from 6months to full year
</t>
    </r>
    <r>
      <rPr>
        <sz val="11"/>
        <color theme="1"/>
        <rFont val="Aptos Narrow"/>
        <family val="2"/>
        <scheme val="minor"/>
      </rPr>
      <t xml:space="preserve">(CFY = 18% annualised increase vs PFY) </t>
    </r>
  </si>
  <si>
    <t>Staff training</t>
  </si>
  <si>
    <t>Members training</t>
  </si>
  <si>
    <t xml:space="preserve">SUMMARY </t>
  </si>
  <si>
    <t>NET TOTAL</t>
  </si>
  <si>
    <t>Increase % vs CFY budgeted expenditure</t>
  </si>
  <si>
    <t>Staff (AC budget for FY, NALC modeled increased, pension increases)</t>
  </si>
  <si>
    <t>Youth &amp; Rec (£8k considered for Infant YC, £1k events budget re-established)</t>
  </si>
  <si>
    <t>Parish Grounds Servcies (£1500 defibrilator not previously budgeted)</t>
  </si>
  <si>
    <t>Administration (professional fees NDP, speedwatch previously unbudgeted)</t>
  </si>
  <si>
    <t>Totals</t>
  </si>
  <si>
    <t>24-25 FY BUD</t>
  </si>
  <si>
    <t>Notes</t>
  </si>
  <si>
    <t>25-26 CFY bud</t>
  </si>
  <si>
    <t>Variance</t>
  </si>
  <si>
    <t>25-26 FY adjusted</t>
  </si>
  <si>
    <t>26-27 Bud Final</t>
  </si>
  <si>
    <t>Clerk</t>
  </si>
  <si>
    <t>Rate of Pay</t>
  </si>
  <si>
    <t>SCP 29</t>
  </si>
  <si>
    <t>SCP30</t>
  </si>
  <si>
    <t>SCP31</t>
  </si>
  <si>
    <t>+5.6%</t>
  </si>
  <si>
    <t>Modelled NALC increase</t>
  </si>
  <si>
    <t>Annual Hours</t>
  </si>
  <si>
    <t>Salary</t>
  </si>
  <si>
    <t>+3.15%</t>
  </si>
  <si>
    <t>3% old</t>
  </si>
  <si>
    <t>Pension</t>
  </si>
  <si>
    <t>20% considered
(Min ee contirbution 6.5%?)</t>
  </si>
  <si>
    <t>10% Pension</t>
  </si>
  <si>
    <t>Yet to ratify CFY</t>
  </si>
  <si>
    <t>NI</t>
  </si>
  <si>
    <t>MO</t>
  </si>
  <si>
    <t>Rate of pay</t>
  </si>
  <si>
    <t>Rate increase 8% (£1/hr)</t>
  </si>
  <si>
    <t>annual hours</t>
  </si>
  <si>
    <t>30x16 + 22x10</t>
  </si>
  <si>
    <t>No pension provision</t>
  </si>
  <si>
    <t>NIC</t>
  </si>
  <si>
    <t>total:</t>
  </si>
  <si>
    <t>Total:</t>
  </si>
  <si>
    <t>AC</t>
  </si>
  <si>
    <t>(should have been £15.58)</t>
  </si>
  <si>
    <t>modelled increase as per Clerk</t>
  </si>
  <si>
    <t>6mth adjustment</t>
  </si>
  <si>
    <t>Grand total:</t>
  </si>
  <si>
    <t>Annualised:</t>
  </si>
  <si>
    <t>variance vs 25-26 bud</t>
  </si>
  <si>
    <t>Variance vs 25-26 bud</t>
  </si>
  <si>
    <t>Variance vs 25-26 actual</t>
  </si>
  <si>
    <t>CC</t>
  </si>
  <si>
    <t>Code</t>
  </si>
  <si>
    <t>Cost Centre Description</t>
  </si>
  <si>
    <t>Vchr.</t>
  </si>
  <si>
    <t>Date</t>
  </si>
  <si>
    <t>Invoice No</t>
  </si>
  <si>
    <t>Minute ref</t>
  </si>
  <si>
    <t xml:space="preserve">Description </t>
  </si>
  <si>
    <t>Supplier</t>
  </si>
  <si>
    <t>Net</t>
  </si>
  <si>
    <t>Reserves budget</t>
  </si>
  <si>
    <t>Balance</t>
  </si>
  <si>
    <t>15/10/2025</t>
  </si>
  <si>
    <t>INV4551</t>
  </si>
  <si>
    <t>17.07.25.14</t>
  </si>
  <si>
    <t>New Website Hosting &amp; Set up &amp; Domain</t>
  </si>
  <si>
    <t>NetWise Training Limited</t>
  </si>
  <si>
    <t>12/05/2025</t>
  </si>
  <si>
    <t>INV - 1027</t>
  </si>
  <si>
    <t>Jubilee &amp; St.George's halls reinstatement valuations</t>
  </si>
  <si>
    <t>Gooding Group Ltd</t>
  </si>
  <si>
    <t>04/08/2025</t>
  </si>
  <si>
    <t>INV-1148</t>
  </si>
  <si>
    <t>17.04.25.6.8</t>
  </si>
  <si>
    <t>Initial works St George's Hall Car Park Review</t>
  </si>
  <si>
    <t>21/10/2025</t>
  </si>
  <si>
    <t>INV-1200</t>
  </si>
  <si>
    <t>Final Report for St George's Hall Car Park Review</t>
  </si>
  <si>
    <t>01/09/2025</t>
  </si>
  <si>
    <t>INV0305</t>
  </si>
  <si>
    <t>17.07.25.13.2</t>
  </si>
  <si>
    <t>Community Engagement Questionnaire for NPS</t>
  </si>
  <si>
    <t>Vision One Research</t>
  </si>
  <si>
    <t>03/11/2025</t>
  </si>
  <si>
    <t>INV-0334</t>
  </si>
  <si>
    <t>Balance. NB £2695 net reserved for land survey report</t>
  </si>
  <si>
    <t>30/06/2025</t>
  </si>
  <si>
    <t>4083</t>
  </si>
  <si>
    <t>Tree works Churchill Close</t>
  </si>
  <si>
    <t>Tree Tech Arboricultural Services Ltd</t>
  </si>
  <si>
    <t>Tree Survey Works</t>
  </si>
  <si>
    <t>£16,000 Allocated reserves</t>
  </si>
  <si>
    <t>4080</t>
  </si>
  <si>
    <t>Tree Works Blockley Churchyard</t>
  </si>
  <si>
    <t>4146</t>
  </si>
  <si>
    <t>18/08/2025</t>
  </si>
  <si>
    <t>4085</t>
  </si>
  <si>
    <t>Tree works Cemetery&amp; Churchyard</t>
  </si>
  <si>
    <t>19/08/2025</t>
  </si>
  <si>
    <t>Tree Works at multiple sites around the parish</t>
  </si>
  <si>
    <t>4208</t>
  </si>
  <si>
    <t>18/11/2025</t>
  </si>
  <si>
    <t>4399</t>
  </si>
  <si>
    <t>Tree Works Cemetery</t>
  </si>
  <si>
    <r>
      <t>EARMARKED RESERVES</t>
    </r>
    <r>
      <rPr>
        <sz val="8"/>
        <color rgb="FF000000"/>
        <rFont val="Arial"/>
        <family val="2"/>
      </rPr>
      <t> </t>
    </r>
  </si>
  <si>
    <r>
      <t>July 2025 Update</t>
    </r>
    <r>
      <rPr>
        <sz val="8"/>
        <color rgb="FF000000"/>
        <rFont val="Arial"/>
        <family val="2"/>
      </rPr>
      <t> </t>
    </r>
  </si>
  <si>
    <r>
      <t>Spent</t>
    </r>
    <r>
      <rPr>
        <sz val="8"/>
        <color rgb="FF000000"/>
        <rFont val="Arial"/>
        <family val="2"/>
      </rPr>
      <t> </t>
    </r>
  </si>
  <si>
    <r>
      <t>Balance Sept 25</t>
    </r>
    <r>
      <rPr>
        <sz val="8"/>
        <color rgb="FF000000"/>
        <rFont val="Arial"/>
        <family val="2"/>
      </rPr>
      <t> </t>
    </r>
  </si>
  <si>
    <t>Churchyard Wall re-build  </t>
  </si>
  <si>
    <t>Land Acquisition </t>
  </si>
  <si>
    <r>
      <t>Churchyard</t>
    </r>
    <r>
      <rPr>
        <sz val="8"/>
        <color rgb="FF000000"/>
        <rFont val="Arial"/>
        <family val="2"/>
      </rPr>
      <t> Monuments </t>
    </r>
  </si>
  <si>
    <t>Personnel </t>
  </si>
  <si>
    <t>CiL </t>
  </si>
  <si>
    <t>Professional Services (NDP, GCS, Website) </t>
  </si>
  <si>
    <t>Infant Youth Club </t>
  </si>
  <si>
    <t>SGH </t>
  </si>
  <si>
    <r>
      <t>Tree Survey </t>
    </r>
    <r>
      <rPr>
        <sz val="8"/>
        <rFont val="Arial"/>
        <family val="2"/>
      </rPr>
      <t>Works </t>
    </r>
  </si>
  <si>
    <t>  </t>
  </si>
  <si>
    <r>
      <t>£156,989</t>
    </r>
    <r>
      <rPr>
        <sz val="8"/>
        <color rgb="FF000000"/>
        <rFont val="Arial"/>
        <family val="2"/>
      </rPr>
      <t> </t>
    </r>
  </si>
  <si>
    <r>
      <t>£18,294</t>
    </r>
    <r>
      <rPr>
        <sz val="8"/>
        <color rgb="FF000000"/>
        <rFont val="Arial"/>
        <family val="2"/>
      </rPr>
      <t> </t>
    </r>
  </si>
  <si>
    <r>
      <t>£138,694</t>
    </r>
    <r>
      <rPr>
        <sz val="8"/>
        <color rgb="FF00000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</si>
</sst>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&quot;£&quot;* #,##0_-;\-&quot;£&quot;* #,##0_-;_-&quot;£&quot;* &quot;-&quot;??_-;_-@_-"/>
    <numFmt numFmtId="167" formatCode="0.0%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6"/>
      <name val="Aptos Narrow"/>
      <family val="2"/>
      <scheme val="minor"/>
    </font>
    <font>
      <b/>
      <sz val="10"/>
      <color theme="6"/>
      <name val="ARIAL"/>
      <family val="2"/>
    </font>
    <font>
      <b/>
      <sz val="11"/>
      <color theme="6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i/>
      <sz val="10"/>
      <color indexed="8"/>
      <name val="ARIAL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165" fontId="3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>
      <alignment vertical="top"/>
    </xf>
  </cellStyleXfs>
  <cellXfs count="131">
    <xf numFmtId="0" fontId="0" fillId="0" borderId="0" xfId="0"/>
    <xf numFmtId="0" fontId="0" fillId="0" borderId="0" xfId="0" applyAlignment="1">
      <alignment vertical="top"/>
    </xf>
    <xf numFmtId="166" fontId="4" fillId="0" borderId="0" xfId="1" applyNumberFormat="1" applyFont="1" applyAlignment="1">
      <alignment vertical="top"/>
    </xf>
    <xf numFmtId="166" fontId="0" fillId="0" borderId="0" xfId="1" applyNumberFormat="1" applyFont="1" applyAlignment="1">
      <alignment vertical="top"/>
    </xf>
    <xf numFmtId="0" fontId="4" fillId="0" borderId="0" xfId="0" applyFont="1" applyAlignment="1">
      <alignment vertical="top"/>
    </xf>
    <xf numFmtId="1" fontId="0" fillId="0" borderId="0" xfId="0" applyNumberForma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/>
    </xf>
    <xf numFmtId="166" fontId="4" fillId="0" borderId="1" xfId="1" applyNumberFormat="1" applyFont="1" applyBorder="1" applyAlignment="1">
      <alignment vertical="top"/>
    </xf>
    <xf numFmtId="9" fontId="4" fillId="0" borderId="1" xfId="2" applyFont="1" applyBorder="1" applyAlignment="1">
      <alignment vertical="top"/>
    </xf>
    <xf numFmtId="4" fontId="0" fillId="0" borderId="0" xfId="0" applyNumberFormat="1" applyAlignment="1">
      <alignment vertical="top"/>
    </xf>
    <xf numFmtId="0" fontId="4" fillId="0" borderId="2" xfId="0" applyFont="1" applyBorder="1" applyAlignment="1">
      <alignment vertical="top"/>
    </xf>
    <xf numFmtId="166" fontId="4" fillId="0" borderId="2" xfId="1" applyNumberFormat="1" applyFont="1" applyBorder="1" applyAlignment="1">
      <alignment vertical="top"/>
    </xf>
    <xf numFmtId="3" fontId="0" fillId="0" borderId="0" xfId="0" applyNumberFormat="1" applyAlignment="1">
      <alignment vertical="top"/>
    </xf>
    <xf numFmtId="0" fontId="2" fillId="0" borderId="0" xfId="0" applyFont="1"/>
    <xf numFmtId="166" fontId="0" fillId="0" borderId="0" xfId="1" applyNumberFormat="1" applyFont="1"/>
    <xf numFmtId="166" fontId="5" fillId="0" borderId="0" xfId="1" applyNumberFormat="1" applyFont="1" applyAlignment="1">
      <alignment vertical="top"/>
    </xf>
    <xf numFmtId="166" fontId="6" fillId="0" borderId="0" xfId="1" applyNumberFormat="1" applyFont="1" applyAlignment="1">
      <alignment vertical="top"/>
    </xf>
    <xf numFmtId="166" fontId="6" fillId="0" borderId="1" xfId="1" applyNumberFormat="1" applyFont="1" applyBorder="1" applyAlignment="1">
      <alignment vertical="top"/>
    </xf>
    <xf numFmtId="166" fontId="6" fillId="0" borderId="2" xfId="1" applyNumberFormat="1" applyFont="1" applyBorder="1" applyAlignment="1">
      <alignment vertical="top"/>
    </xf>
    <xf numFmtId="0" fontId="5" fillId="0" borderId="0" xfId="0" applyFont="1"/>
    <xf numFmtId="165" fontId="5" fillId="0" borderId="0" xfId="1" applyFont="1" applyAlignment="1">
      <alignment vertical="top"/>
    </xf>
    <xf numFmtId="166" fontId="4" fillId="0" borderId="3" xfId="1" applyNumberFormat="1" applyFont="1" applyBorder="1" applyAlignment="1">
      <alignment vertical="top"/>
    </xf>
    <xf numFmtId="166" fontId="0" fillId="0" borderId="5" xfId="1" applyNumberFormat="1" applyFont="1" applyBorder="1" applyAlignment="1">
      <alignment vertical="top"/>
    </xf>
    <xf numFmtId="9" fontId="0" fillId="0" borderId="6" xfId="2" applyFont="1" applyBorder="1" applyAlignment="1">
      <alignment vertical="top"/>
    </xf>
    <xf numFmtId="9" fontId="5" fillId="0" borderId="0" xfId="2" applyFont="1" applyAlignment="1">
      <alignment vertical="top"/>
    </xf>
    <xf numFmtId="165" fontId="5" fillId="0" borderId="0" xfId="0" applyNumberFormat="1" applyFont="1"/>
    <xf numFmtId="9" fontId="5" fillId="0" borderId="0" xfId="2" applyFont="1"/>
    <xf numFmtId="9" fontId="7" fillId="0" borderId="0" xfId="2" applyFont="1" applyAlignment="1">
      <alignment vertical="top"/>
    </xf>
    <xf numFmtId="0" fontId="3" fillId="0" borderId="0" xfId="3" applyAlignment="1">
      <alignment horizontal="right" vertical="top"/>
    </xf>
    <xf numFmtId="0" fontId="4" fillId="0" borderId="0" xfId="3" applyFont="1">
      <alignment vertical="top"/>
    </xf>
    <xf numFmtId="0" fontId="4" fillId="0" borderId="0" xfId="3" applyFont="1" applyAlignment="1">
      <alignment horizontal="right" vertical="top"/>
    </xf>
    <xf numFmtId="0" fontId="3" fillId="0" borderId="0" xfId="3">
      <alignment vertical="top"/>
    </xf>
    <xf numFmtId="165" fontId="0" fillId="0" borderId="0" xfId="4" applyFont="1">
      <alignment vertical="top"/>
    </xf>
    <xf numFmtId="167" fontId="0" fillId="0" borderId="0" xfId="5" applyNumberFormat="1" applyFont="1">
      <alignment vertical="top"/>
    </xf>
    <xf numFmtId="165" fontId="3" fillId="0" borderId="0" xfId="3" applyNumberFormat="1">
      <alignment vertical="top"/>
    </xf>
    <xf numFmtId="0" fontId="3" fillId="0" borderId="0" xfId="3" quotePrefix="1" applyAlignment="1">
      <alignment horizontal="right" vertical="top"/>
    </xf>
    <xf numFmtId="1" fontId="0" fillId="0" borderId="0" xfId="4" applyNumberFormat="1" applyFont="1">
      <alignment vertical="top"/>
    </xf>
    <xf numFmtId="10" fontId="3" fillId="0" borderId="0" xfId="3" quotePrefix="1" applyNumberFormat="1" applyAlignment="1">
      <alignment horizontal="right" vertical="center"/>
    </xf>
    <xf numFmtId="0" fontId="3" fillId="0" borderId="0" xfId="3" applyAlignment="1">
      <alignment horizontal="right" vertical="center"/>
    </xf>
    <xf numFmtId="9" fontId="3" fillId="0" borderId="0" xfId="3" applyNumberFormat="1" applyAlignment="1">
      <alignment horizontal="right" vertical="top"/>
    </xf>
    <xf numFmtId="165" fontId="4" fillId="0" borderId="0" xfId="3" applyNumberFormat="1" applyFont="1">
      <alignment vertical="top"/>
    </xf>
    <xf numFmtId="167" fontId="4" fillId="0" borderId="0" xfId="5" applyNumberFormat="1" applyFont="1" applyAlignment="1">
      <alignment horizontal="right" vertical="top"/>
    </xf>
    <xf numFmtId="165" fontId="4" fillId="0" borderId="0" xfId="4" applyFont="1">
      <alignment vertical="top"/>
    </xf>
    <xf numFmtId="164" fontId="3" fillId="0" borderId="0" xfId="3" applyNumberFormat="1">
      <alignment vertical="top"/>
    </xf>
    <xf numFmtId="164" fontId="4" fillId="0" borderId="0" xfId="3" applyNumberFormat="1" applyFont="1">
      <alignment vertical="top"/>
    </xf>
    <xf numFmtId="0" fontId="4" fillId="0" borderId="7" xfId="3" applyFont="1" applyBorder="1" applyAlignment="1">
      <alignment horizontal="right" vertical="top"/>
    </xf>
    <xf numFmtId="165" fontId="4" fillId="0" borderId="7" xfId="3" applyNumberFormat="1" applyFont="1" applyBorder="1">
      <alignment vertical="top"/>
    </xf>
    <xf numFmtId="9" fontId="0" fillId="0" borderId="0" xfId="5" applyFont="1">
      <alignment vertical="top"/>
    </xf>
    <xf numFmtId="0" fontId="2" fillId="0" borderId="0" xfId="0" applyFont="1" applyAlignment="1">
      <alignment wrapText="1"/>
    </xf>
    <xf numFmtId="0" fontId="3" fillId="0" borderId="0" xfId="3" applyAlignment="1">
      <alignment horizontal="left" vertical="top"/>
    </xf>
    <xf numFmtId="0" fontId="4" fillId="0" borderId="0" xfId="3" applyFont="1" applyAlignment="1">
      <alignment horizontal="left" vertical="top"/>
    </xf>
    <xf numFmtId="9" fontId="3" fillId="0" borderId="0" xfId="3" applyNumberFormat="1" applyAlignment="1">
      <alignment horizontal="left" vertical="top"/>
    </xf>
    <xf numFmtId="165" fontId="3" fillId="0" borderId="0" xfId="3" applyNumberForma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9" fontId="0" fillId="0" borderId="0" xfId="2" applyFont="1" applyAlignment="1">
      <alignment horizontal="left" vertical="top"/>
    </xf>
    <xf numFmtId="167" fontId="4" fillId="0" borderId="7" xfId="5" applyNumberFormat="1" applyFont="1" applyBorder="1" applyAlignment="1">
      <alignment horizontal="left" vertical="top"/>
    </xf>
    <xf numFmtId="9" fontId="3" fillId="0" borderId="0" xfId="2" applyFont="1" applyAlignment="1">
      <alignment horizontal="left" vertical="top"/>
    </xf>
    <xf numFmtId="166" fontId="4" fillId="0" borderId="2" xfId="2" applyNumberFormat="1" applyFont="1" applyBorder="1" applyAlignment="1">
      <alignment vertical="top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vertical="top"/>
    </xf>
    <xf numFmtId="0" fontId="0" fillId="0" borderId="2" xfId="0" applyBorder="1"/>
    <xf numFmtId="9" fontId="5" fillId="0" borderId="9" xfId="2" applyFont="1" applyBorder="1" applyAlignment="1">
      <alignment vertical="top"/>
    </xf>
    <xf numFmtId="0" fontId="0" fillId="0" borderId="9" xfId="0" applyBorder="1"/>
    <xf numFmtId="0" fontId="4" fillId="0" borderId="10" xfId="0" applyFont="1" applyBorder="1" applyAlignment="1">
      <alignment vertical="top"/>
    </xf>
    <xf numFmtId="1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165" fontId="4" fillId="0" borderId="10" xfId="4" applyFont="1" applyBorder="1">
      <alignment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1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vertical="top"/>
    </xf>
    <xf numFmtId="1" fontId="0" fillId="0" borderId="10" xfId="0" applyNumberFormat="1" applyBorder="1" applyAlignment="1">
      <alignment vertical="top"/>
    </xf>
    <xf numFmtId="0" fontId="0" fillId="0" borderId="10" xfId="0" applyBorder="1" applyAlignment="1">
      <alignment horizontal="left" vertical="top"/>
    </xf>
    <xf numFmtId="165" fontId="0" fillId="0" borderId="10" xfId="4" applyFont="1" applyBorder="1">
      <alignment vertical="top"/>
    </xf>
    <xf numFmtId="165" fontId="0" fillId="0" borderId="10" xfId="0" applyNumberForma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165" fontId="4" fillId="0" borderId="10" xfId="0" applyNumberFormat="1" applyFont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9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165" fontId="9" fillId="0" borderId="14" xfId="0" applyNumberFormat="1" applyFont="1" applyBorder="1" applyAlignment="1">
      <alignment horizontal="right" vertical="center" wrapText="1"/>
    </xf>
    <xf numFmtId="165" fontId="9" fillId="0" borderId="19" xfId="0" applyNumberFormat="1" applyFont="1" applyBorder="1" applyAlignment="1">
      <alignment horizontal="right" vertical="center" wrapText="1"/>
    </xf>
    <xf numFmtId="165" fontId="9" fillId="0" borderId="14" xfId="1" applyFont="1" applyBorder="1" applyAlignment="1">
      <alignment horizontal="right" vertical="center" wrapText="1"/>
    </xf>
    <xf numFmtId="166" fontId="11" fillId="0" borderId="0" xfId="1" applyNumberFormat="1" applyFont="1" applyAlignment="1">
      <alignment vertical="top"/>
    </xf>
    <xf numFmtId="166" fontId="11" fillId="0" borderId="8" xfId="1" applyNumberFormat="1" applyFont="1" applyBorder="1" applyAlignment="1">
      <alignment vertical="top"/>
    </xf>
    <xf numFmtId="166" fontId="12" fillId="0" borderId="9" xfId="1" applyNumberFormat="1" applyFont="1" applyBorder="1" applyAlignment="1">
      <alignment vertical="top"/>
    </xf>
    <xf numFmtId="166" fontId="12" fillId="0" borderId="0" xfId="1" applyNumberFormat="1" applyFont="1" applyAlignment="1">
      <alignment vertical="top"/>
    </xf>
    <xf numFmtId="0" fontId="12" fillId="0" borderId="0" xfId="0" applyFont="1"/>
    <xf numFmtId="166" fontId="11" fillId="0" borderId="1" xfId="1" applyNumberFormat="1" applyFont="1" applyBorder="1" applyAlignment="1">
      <alignment vertical="top"/>
    </xf>
    <xf numFmtId="166" fontId="11" fillId="0" borderId="2" xfId="1" applyNumberFormat="1" applyFont="1" applyBorder="1" applyAlignment="1">
      <alignment vertical="top"/>
    </xf>
    <xf numFmtId="166" fontId="7" fillId="0" borderId="4" xfId="1" applyNumberFormat="1" applyFont="1" applyBorder="1" applyAlignment="1">
      <alignment vertical="top"/>
    </xf>
    <xf numFmtId="165" fontId="0" fillId="0" borderId="0" xfId="0" applyNumberFormat="1"/>
    <xf numFmtId="0" fontId="13" fillId="0" borderId="10" xfId="0" applyFont="1" applyBorder="1"/>
    <xf numFmtId="166" fontId="15" fillId="0" borderId="10" xfId="1" applyNumberFormat="1" applyFont="1" applyBorder="1" applyAlignment="1">
      <alignment vertical="top"/>
    </xf>
    <xf numFmtId="0" fontId="15" fillId="0" borderId="10" xfId="0" applyFont="1" applyBorder="1" applyAlignment="1">
      <alignment vertical="top"/>
    </xf>
    <xf numFmtId="166" fontId="16" fillId="0" borderId="10" xfId="1" applyNumberFormat="1" applyFont="1" applyBorder="1" applyAlignment="1">
      <alignment vertical="top"/>
    </xf>
    <xf numFmtId="0" fontId="17" fillId="0" borderId="10" xfId="0" applyFont="1" applyBorder="1" applyAlignment="1">
      <alignment vertical="top"/>
    </xf>
    <xf numFmtId="166" fontId="17" fillId="0" borderId="10" xfId="0" applyNumberFormat="1" applyFont="1" applyBorder="1"/>
    <xf numFmtId="0" fontId="17" fillId="0" borderId="10" xfId="0" applyFont="1" applyBorder="1" applyAlignment="1">
      <alignment horizontal="right"/>
    </xf>
    <xf numFmtId="166" fontId="5" fillId="0" borderId="23" xfId="1" applyNumberFormat="1" applyFont="1" applyBorder="1" applyAlignment="1">
      <alignment vertical="top"/>
    </xf>
    <xf numFmtId="0" fontId="14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6">
    <cellStyle name="Currency" xfId="1" builtinId="4"/>
    <cellStyle name="Currency 2" xfId="4" xr:uid="{4C9CFF15-547C-4790-BD0C-43C0768CDC75}"/>
    <cellStyle name="Normal" xfId="0" builtinId="0"/>
    <cellStyle name="Normal 2" xfId="3" xr:uid="{9ED08232-6879-4BF9-90FF-AE4E1C163483}"/>
    <cellStyle name="Percent" xfId="2" builtinId="5"/>
    <cellStyle name="Percent 2" xfId="5" xr:uid="{B326382F-331F-4391-8306-815A2C723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E50D-B07D-4081-8C2F-E4151EF64074}">
  <dimension ref="A1:J74"/>
  <sheetViews>
    <sheetView tabSelected="1" workbookViewId="0">
      <selection activeCell="K66" sqref="K66"/>
    </sheetView>
  </sheetViews>
  <sheetFormatPr defaultRowHeight="15"/>
  <cols>
    <col min="1" max="1" width="26.28515625" bestFit="1" customWidth="1"/>
    <col min="2" max="2" width="37.42578125" bestFit="1" customWidth="1"/>
    <col min="3" max="3" width="12.7109375" bestFit="1" customWidth="1"/>
    <col min="4" max="4" width="10" customWidth="1"/>
    <col min="5" max="5" width="10" style="20" bestFit="1" customWidth="1"/>
    <col min="6" max="6" width="19.140625" bestFit="1" customWidth="1"/>
    <col min="7" max="7" width="12" style="103" bestFit="1" customWidth="1"/>
    <col min="8" max="8" width="12" style="20" customWidth="1"/>
    <col min="9" max="9" width="9.42578125" style="20" customWidth="1"/>
    <col min="10" max="10" width="76.140625" customWidth="1"/>
    <col min="11" max="11" width="45.140625" bestFit="1" customWidth="1"/>
  </cols>
  <sheetData>
    <row r="1" spans="1:10">
      <c r="A1" s="1"/>
      <c r="B1" s="1"/>
      <c r="C1" s="2" t="s">
        <v>0</v>
      </c>
      <c r="D1" s="2"/>
      <c r="E1" s="17"/>
      <c r="F1" s="2" t="s">
        <v>1</v>
      </c>
      <c r="G1" s="99"/>
      <c r="H1" s="16"/>
      <c r="I1" s="16"/>
    </row>
    <row r="2" spans="1:10" ht="15.75" thickBot="1">
      <c r="A2" s="1"/>
      <c r="B2" s="1"/>
      <c r="C2" s="2"/>
      <c r="D2" s="2"/>
      <c r="E2" s="17"/>
      <c r="F2" s="2"/>
      <c r="G2" s="99"/>
      <c r="H2" s="16"/>
      <c r="I2" s="16"/>
    </row>
    <row r="3" spans="1:10" ht="15.75" thickBot="1">
      <c r="A3" s="4" t="s">
        <v>2</v>
      </c>
      <c r="B3" s="4"/>
      <c r="C3" s="2" t="s">
        <v>3</v>
      </c>
      <c r="D3" s="2" t="s">
        <v>4</v>
      </c>
      <c r="E3" s="17" t="s">
        <v>5</v>
      </c>
      <c r="F3" s="22" t="s">
        <v>6</v>
      </c>
      <c r="G3" s="100"/>
      <c r="H3" s="106" t="s">
        <v>7</v>
      </c>
      <c r="I3" s="17"/>
      <c r="J3" s="107"/>
    </row>
    <row r="4" spans="1:10" ht="15.75" thickBot="1">
      <c r="A4" s="5">
        <v>1</v>
      </c>
      <c r="B4" s="1" t="s">
        <v>8</v>
      </c>
      <c r="C4" s="3">
        <v>132051.15</v>
      </c>
      <c r="D4" s="3">
        <f>99039+33012</f>
        <v>132051</v>
      </c>
      <c r="E4" s="115">
        <f>H65-E8</f>
        <v>156093.56426606994</v>
      </c>
      <c r="F4" s="23">
        <f>E4-C4</f>
        <v>24042.414266069944</v>
      </c>
      <c r="G4" s="101"/>
      <c r="H4" s="24">
        <f>F4/C4</f>
        <v>0.18206895029744113</v>
      </c>
      <c r="I4" s="16"/>
      <c r="J4" t="s">
        <v>9</v>
      </c>
    </row>
    <row r="5" spans="1:10">
      <c r="A5" s="5">
        <v>2</v>
      </c>
      <c r="B5" s="1" t="s">
        <v>10</v>
      </c>
      <c r="C5" s="3"/>
      <c r="D5" s="3">
        <v>2665.75</v>
      </c>
      <c r="E5" s="16"/>
      <c r="F5" s="3"/>
      <c r="G5" s="102"/>
      <c r="H5" s="16"/>
      <c r="I5" s="16"/>
      <c r="J5" t="s">
        <v>11</v>
      </c>
    </row>
    <row r="6" spans="1:10">
      <c r="A6" s="5">
        <v>3</v>
      </c>
      <c r="B6" s="1" t="s">
        <v>12</v>
      </c>
      <c r="C6" s="3"/>
      <c r="D6" s="3">
        <v>5062.5</v>
      </c>
      <c r="E6" s="16"/>
      <c r="F6" s="3"/>
      <c r="G6" s="102"/>
      <c r="H6" s="16"/>
      <c r="I6" s="16"/>
      <c r="J6" t="s">
        <v>13</v>
      </c>
    </row>
    <row r="7" spans="1:10">
      <c r="A7" s="5">
        <v>32</v>
      </c>
      <c r="B7" s="1" t="s">
        <v>14</v>
      </c>
      <c r="C7" s="3"/>
      <c r="D7" s="3">
        <v>1385</v>
      </c>
      <c r="E7" s="16"/>
      <c r="F7" s="3"/>
      <c r="G7" s="102"/>
      <c r="H7" s="16"/>
      <c r="I7" s="16"/>
      <c r="J7" t="s">
        <v>11</v>
      </c>
    </row>
    <row r="8" spans="1:10">
      <c r="A8" s="5">
        <v>33</v>
      </c>
      <c r="B8" s="1" t="s">
        <v>15</v>
      </c>
      <c r="C8" s="3">
        <v>3000</v>
      </c>
      <c r="D8" s="3">
        <v>4663.51</v>
      </c>
      <c r="E8" s="16">
        <v>4000</v>
      </c>
      <c r="H8" s="16"/>
      <c r="I8" s="16"/>
      <c r="J8" s="16" t="s">
        <v>16</v>
      </c>
    </row>
    <row r="9" spans="1:10">
      <c r="A9" s="5">
        <v>34</v>
      </c>
      <c r="B9" s="1" t="s">
        <v>17</v>
      </c>
      <c r="C9" s="3"/>
      <c r="D9" s="3">
        <v>3562.74</v>
      </c>
      <c r="E9" s="16"/>
      <c r="F9" s="3"/>
      <c r="G9" s="102"/>
      <c r="H9" s="16"/>
      <c r="I9" s="16"/>
      <c r="J9" t="s">
        <v>11</v>
      </c>
    </row>
    <row r="10" spans="1:10">
      <c r="A10" s="5">
        <v>40</v>
      </c>
      <c r="B10" s="1" t="s">
        <v>18</v>
      </c>
      <c r="C10" s="3"/>
      <c r="D10" s="3">
        <v>11388.51</v>
      </c>
      <c r="E10" s="16"/>
      <c r="F10" s="3"/>
      <c r="G10" s="102"/>
      <c r="H10" s="16"/>
      <c r="I10" s="16"/>
      <c r="J10" t="s">
        <v>19</v>
      </c>
    </row>
    <row r="11" spans="1:10">
      <c r="A11" s="4"/>
      <c r="B11" s="4" t="s">
        <v>20</v>
      </c>
      <c r="C11" s="2">
        <f>SUM(C4:C10)</f>
        <v>135051.15</v>
      </c>
      <c r="D11" s="2">
        <f>SUM(D4:D10)</f>
        <v>160779.01</v>
      </c>
      <c r="E11" s="17">
        <f>SUM(E4:E10)</f>
        <v>160093.56426606994</v>
      </c>
      <c r="F11" s="2"/>
      <c r="G11" s="99"/>
      <c r="H11" s="17"/>
      <c r="I11" s="17"/>
    </row>
    <row r="12" spans="1:10">
      <c r="A12" s="4"/>
      <c r="B12" s="6"/>
      <c r="C12" s="2"/>
      <c r="D12" s="2"/>
      <c r="E12" s="17"/>
      <c r="F12" s="2"/>
      <c r="G12" s="99"/>
      <c r="H12" s="17"/>
      <c r="I12" s="17"/>
    </row>
    <row r="13" spans="1:10">
      <c r="A13" s="63" t="s">
        <v>21</v>
      </c>
      <c r="B13" s="1"/>
      <c r="C13" s="3"/>
      <c r="D13" s="3"/>
      <c r="E13" s="16"/>
      <c r="F13" s="2" t="s">
        <v>22</v>
      </c>
      <c r="G13" s="99" t="s">
        <v>23</v>
      </c>
      <c r="H13" s="17" t="s">
        <v>24</v>
      </c>
      <c r="I13" s="17"/>
    </row>
    <row r="14" spans="1:10">
      <c r="A14" s="5">
        <v>4</v>
      </c>
      <c r="B14" s="1" t="s">
        <v>25</v>
      </c>
      <c r="C14" s="3"/>
      <c r="D14" s="3"/>
      <c r="E14" s="16"/>
      <c r="F14" s="3">
        <v>240</v>
      </c>
      <c r="G14" s="102">
        <v>120</v>
      </c>
      <c r="H14" s="16">
        <v>240</v>
      </c>
      <c r="I14" s="25">
        <f>H14/F14-1</f>
        <v>0</v>
      </c>
    </row>
    <row r="15" spans="1:10">
      <c r="A15" s="5">
        <v>5</v>
      </c>
      <c r="B15" s="1" t="s">
        <v>26</v>
      </c>
      <c r="C15" s="3"/>
      <c r="D15" s="3"/>
      <c r="E15" s="16"/>
      <c r="F15" s="3">
        <v>600</v>
      </c>
      <c r="G15" s="102">
        <v>100</v>
      </c>
      <c r="H15" s="16">
        <v>600</v>
      </c>
      <c r="I15" s="25">
        <f>H15/F15-1</f>
        <v>0</v>
      </c>
    </row>
    <row r="16" spans="1:10">
      <c r="A16" s="5">
        <v>6</v>
      </c>
      <c r="B16" s="1" t="s">
        <v>27</v>
      </c>
      <c r="C16" s="3"/>
      <c r="D16" s="3"/>
      <c r="E16" s="16"/>
      <c r="F16" s="3"/>
      <c r="G16" s="102"/>
      <c r="H16" s="16"/>
      <c r="I16" s="25" t="s">
        <v>28</v>
      </c>
    </row>
    <row r="17" spans="1:10">
      <c r="A17" s="5">
        <v>7</v>
      </c>
      <c r="B17" s="1" t="s">
        <v>29</v>
      </c>
      <c r="C17" s="3"/>
      <c r="D17" s="3"/>
      <c r="E17" s="16"/>
      <c r="F17" s="3">
        <v>700</v>
      </c>
      <c r="G17" s="102">
        <v>302.52</v>
      </c>
      <c r="H17" s="16">
        <v>700</v>
      </c>
      <c r="I17" s="25">
        <f>H17/F17-1</f>
        <v>0</v>
      </c>
      <c r="J17" t="s">
        <v>30</v>
      </c>
    </row>
    <row r="18" spans="1:10">
      <c r="A18" s="5">
        <v>8</v>
      </c>
      <c r="B18" s="1" t="s">
        <v>31</v>
      </c>
      <c r="C18" s="3"/>
      <c r="D18" s="3"/>
      <c r="E18" s="16"/>
      <c r="F18" s="3">
        <v>200</v>
      </c>
      <c r="G18" s="102"/>
      <c r="H18" s="16">
        <v>300</v>
      </c>
      <c r="I18" s="28">
        <f>H18/F18-1</f>
        <v>0.5</v>
      </c>
      <c r="J18" s="14" t="s">
        <v>32</v>
      </c>
    </row>
    <row r="19" spans="1:10">
      <c r="A19" s="5">
        <v>9</v>
      </c>
      <c r="B19" s="1" t="s">
        <v>33</v>
      </c>
      <c r="C19" s="3"/>
      <c r="D19" s="3"/>
      <c r="E19" s="16"/>
      <c r="F19" s="3">
        <v>1000</v>
      </c>
      <c r="G19" s="102">
        <v>455</v>
      </c>
      <c r="H19" s="16">
        <v>1000</v>
      </c>
      <c r="I19" s="25">
        <f>H19/F19-1</f>
        <v>0</v>
      </c>
      <c r="J19" t="s">
        <v>34</v>
      </c>
    </row>
    <row r="20" spans="1:10">
      <c r="A20" s="5">
        <v>10</v>
      </c>
      <c r="B20" s="1" t="s">
        <v>35</v>
      </c>
      <c r="C20" s="3"/>
      <c r="D20" s="3"/>
      <c r="E20" s="16"/>
      <c r="F20" s="3">
        <v>1700</v>
      </c>
      <c r="G20" s="102">
        <v>1803.5</v>
      </c>
      <c r="H20" s="16">
        <v>2500</v>
      </c>
      <c r="I20" s="28">
        <f>H20/F20-1</f>
        <v>0.47058823529411775</v>
      </c>
      <c r="J20" s="14" t="s">
        <v>36</v>
      </c>
    </row>
    <row r="21" spans="1:10">
      <c r="A21" s="5">
        <v>11</v>
      </c>
      <c r="B21" s="1" t="s">
        <v>37</v>
      </c>
      <c r="C21" s="3"/>
      <c r="D21" s="3"/>
      <c r="E21" s="16"/>
      <c r="F21" s="3"/>
      <c r="G21" s="102">
        <v>929</v>
      </c>
      <c r="H21" s="16">
        <f>235+330</f>
        <v>565</v>
      </c>
      <c r="I21" s="25" t="s">
        <v>38</v>
      </c>
      <c r="J21" t="s">
        <v>39</v>
      </c>
    </row>
    <row r="22" spans="1:10">
      <c r="A22" s="5">
        <v>12</v>
      </c>
      <c r="B22" s="1" t="s">
        <v>40</v>
      </c>
      <c r="C22" s="3"/>
      <c r="D22" s="3"/>
      <c r="E22" s="16"/>
      <c r="F22" s="3">
        <v>600</v>
      </c>
      <c r="G22" s="102">
        <v>391.6</v>
      </c>
      <c r="H22" s="16">
        <v>600</v>
      </c>
      <c r="I22" s="25">
        <f t="shared" ref="I22:I27" si="0">H22/F22-1</f>
        <v>0</v>
      </c>
    </row>
    <row r="23" spans="1:10">
      <c r="A23" s="5">
        <v>13</v>
      </c>
      <c r="B23" s="1" t="s">
        <v>41</v>
      </c>
      <c r="C23" s="3"/>
      <c r="D23" s="3"/>
      <c r="E23" s="16"/>
      <c r="F23" s="3">
        <v>250</v>
      </c>
      <c r="G23" s="102">
        <v>195.8</v>
      </c>
      <c r="H23" s="16">
        <v>250</v>
      </c>
      <c r="I23" s="25">
        <f t="shared" si="0"/>
        <v>0</v>
      </c>
    </row>
    <row r="24" spans="1:10">
      <c r="A24" s="5">
        <v>14</v>
      </c>
      <c r="B24" s="1" t="s">
        <v>42</v>
      </c>
      <c r="C24" s="3"/>
      <c r="D24" s="3"/>
      <c r="E24" s="16"/>
      <c r="F24" s="3">
        <v>500</v>
      </c>
      <c r="G24" s="102">
        <v>396</v>
      </c>
      <c r="H24" s="16">
        <v>500</v>
      </c>
      <c r="I24" s="25">
        <f t="shared" si="0"/>
        <v>0</v>
      </c>
    </row>
    <row r="25" spans="1:10">
      <c r="A25" s="5">
        <v>15</v>
      </c>
      <c r="B25" s="1" t="s">
        <v>43</v>
      </c>
      <c r="C25" s="3"/>
      <c r="D25" s="3"/>
      <c r="E25" s="16"/>
      <c r="F25" s="3">
        <v>3120.27</v>
      </c>
      <c r="G25" s="102">
        <v>3887.51</v>
      </c>
      <c r="H25" s="16">
        <v>3888</v>
      </c>
      <c r="I25" s="25">
        <f t="shared" si="0"/>
        <v>0.24604601524868031</v>
      </c>
      <c r="J25" t="s">
        <v>44</v>
      </c>
    </row>
    <row r="26" spans="1:10" ht="45">
      <c r="A26" s="5">
        <v>16</v>
      </c>
      <c r="B26" s="1" t="s">
        <v>45</v>
      </c>
      <c r="C26" s="3"/>
      <c r="D26" s="3"/>
      <c r="E26" s="16"/>
      <c r="F26" s="3">
        <v>2000</v>
      </c>
      <c r="G26" s="102">
        <v>10625.65</v>
      </c>
      <c r="H26" s="16">
        <v>10000</v>
      </c>
      <c r="I26" s="28">
        <f t="shared" si="0"/>
        <v>4</v>
      </c>
      <c r="J26" s="49" t="s">
        <v>46</v>
      </c>
    </row>
    <row r="27" spans="1:10">
      <c r="A27" s="5">
        <v>17</v>
      </c>
      <c r="B27" s="1" t="s">
        <v>47</v>
      </c>
      <c r="C27" s="3"/>
      <c r="D27" s="3"/>
      <c r="E27" s="16"/>
      <c r="F27" s="3">
        <v>420</v>
      </c>
      <c r="G27" s="102">
        <v>233.39</v>
      </c>
      <c r="H27" s="16">
        <v>720</v>
      </c>
      <c r="I27" s="28">
        <f t="shared" si="0"/>
        <v>0.71428571428571419</v>
      </c>
      <c r="J27" s="14" t="s">
        <v>48</v>
      </c>
    </row>
    <row r="28" spans="1:10">
      <c r="A28" s="5">
        <v>41</v>
      </c>
      <c r="B28" s="1" t="s">
        <v>49</v>
      </c>
      <c r="C28" s="3"/>
      <c r="D28" s="3"/>
      <c r="E28" s="16"/>
      <c r="F28" s="3"/>
      <c r="G28" s="102"/>
      <c r="H28" s="16"/>
      <c r="I28" s="25"/>
    </row>
    <row r="29" spans="1:10">
      <c r="A29" s="5">
        <v>42</v>
      </c>
      <c r="B29" s="1" t="s">
        <v>50</v>
      </c>
      <c r="C29" s="3"/>
      <c r="D29" s="3"/>
      <c r="E29" s="16"/>
      <c r="F29" s="3"/>
      <c r="G29" s="102">
        <v>343.6</v>
      </c>
      <c r="H29" s="16">
        <f>364+179</f>
        <v>543</v>
      </c>
      <c r="I29" s="25" t="s">
        <v>38</v>
      </c>
      <c r="J29" t="s">
        <v>51</v>
      </c>
    </row>
    <row r="30" spans="1:10">
      <c r="A30" s="5">
        <v>44</v>
      </c>
      <c r="B30" s="1" t="s">
        <v>52</v>
      </c>
      <c r="C30" s="3"/>
      <c r="D30" s="3"/>
      <c r="E30" s="16"/>
      <c r="F30" s="3"/>
      <c r="G30" s="102"/>
      <c r="H30" s="16"/>
      <c r="I30" s="16"/>
    </row>
    <row r="31" spans="1:10">
      <c r="A31" s="4"/>
      <c r="B31" s="7" t="s">
        <v>20</v>
      </c>
      <c r="C31" s="8"/>
      <c r="D31" s="8"/>
      <c r="E31" s="18"/>
      <c r="F31" s="8">
        <f>SUM(F14:F30)</f>
        <v>11330.27</v>
      </c>
      <c r="G31" s="104">
        <f>SUM(G14:G30)</f>
        <v>19783.57</v>
      </c>
      <c r="H31" s="8">
        <f>SUM(H14:H30)</f>
        <v>22406</v>
      </c>
      <c r="I31" s="9">
        <f>H31/F31-1</f>
        <v>0.9775345159471045</v>
      </c>
      <c r="J31" s="62">
        <f>H31-F31</f>
        <v>11075.73</v>
      </c>
    </row>
    <row r="32" spans="1:10">
      <c r="A32" s="4"/>
      <c r="B32" s="6"/>
      <c r="C32" s="2"/>
      <c r="D32" s="2"/>
      <c r="E32" s="17"/>
      <c r="F32" s="2"/>
      <c r="G32" s="99"/>
      <c r="H32" s="17"/>
      <c r="I32" s="17"/>
    </row>
    <row r="33" spans="1:10">
      <c r="A33" s="4" t="s">
        <v>53</v>
      </c>
      <c r="B33" s="4"/>
      <c r="C33" s="2"/>
      <c r="D33" s="2"/>
      <c r="E33" s="17"/>
      <c r="F33" s="2" t="s">
        <v>54</v>
      </c>
      <c r="G33" s="99" t="s">
        <v>23</v>
      </c>
      <c r="H33" s="17" t="s">
        <v>5</v>
      </c>
      <c r="I33" s="17"/>
    </row>
    <row r="34" spans="1:10">
      <c r="A34" s="5">
        <v>18</v>
      </c>
      <c r="B34" s="1" t="s">
        <v>55</v>
      </c>
      <c r="C34" s="3"/>
      <c r="D34" s="3"/>
      <c r="E34" s="16"/>
      <c r="F34" s="3">
        <v>6000</v>
      </c>
      <c r="G34" s="102">
        <v>13629.85</v>
      </c>
      <c r="H34" s="16">
        <v>6000</v>
      </c>
      <c r="I34" s="16"/>
      <c r="J34" t="s">
        <v>56</v>
      </c>
    </row>
    <row r="35" spans="1:10">
      <c r="A35" s="5">
        <v>19</v>
      </c>
      <c r="B35" s="1" t="s">
        <v>57</v>
      </c>
      <c r="C35" s="3"/>
      <c r="D35" s="3"/>
      <c r="E35" s="16"/>
      <c r="F35" s="3">
        <v>24812.400000000001</v>
      </c>
      <c r="G35" s="102">
        <v>19504</v>
      </c>
      <c r="H35" s="16">
        <v>24812</v>
      </c>
      <c r="I35" s="16"/>
      <c r="J35" t="s">
        <v>58</v>
      </c>
    </row>
    <row r="36" spans="1:10">
      <c r="A36" s="5">
        <v>20</v>
      </c>
      <c r="B36" s="1" t="s">
        <v>59</v>
      </c>
      <c r="C36" s="3"/>
      <c r="D36" s="3"/>
      <c r="E36" s="16"/>
      <c r="F36" s="3">
        <v>4000</v>
      </c>
      <c r="G36" s="102">
        <v>14100.5</v>
      </c>
      <c r="H36" s="16">
        <v>4000</v>
      </c>
      <c r="I36" s="16"/>
      <c r="J36" t="s">
        <v>60</v>
      </c>
    </row>
    <row r="37" spans="1:10">
      <c r="A37" s="5" t="s">
        <v>61</v>
      </c>
      <c r="B37" s="1" t="s">
        <v>62</v>
      </c>
      <c r="C37" s="3"/>
      <c r="D37" s="3"/>
      <c r="E37" s="16"/>
      <c r="F37" s="3"/>
      <c r="G37" s="102"/>
      <c r="H37" s="16">
        <v>1500</v>
      </c>
      <c r="I37" s="16"/>
      <c r="J37" t="s">
        <v>63</v>
      </c>
    </row>
    <row r="38" spans="1:10">
      <c r="A38" s="5">
        <v>21</v>
      </c>
      <c r="B38" s="1" t="s">
        <v>64</v>
      </c>
      <c r="C38" s="3"/>
      <c r="D38" s="3"/>
      <c r="E38" s="16"/>
      <c r="F38" s="3">
        <v>300</v>
      </c>
      <c r="G38" s="102">
        <v>1119.76</v>
      </c>
      <c r="H38" s="16">
        <v>300</v>
      </c>
      <c r="I38" s="16"/>
      <c r="J38" t="s">
        <v>65</v>
      </c>
    </row>
    <row r="39" spans="1:10">
      <c r="A39" s="4"/>
      <c r="B39" s="7" t="s">
        <v>20</v>
      </c>
      <c r="C39" s="8"/>
      <c r="D39" s="8"/>
      <c r="E39" s="18"/>
      <c r="F39" s="8">
        <f>SUM(F34:F38)</f>
        <v>35112.400000000001</v>
      </c>
      <c r="G39" s="104">
        <f>SUM(G34:G38)</f>
        <v>48354.11</v>
      </c>
      <c r="H39" s="8">
        <f>SUM(H34:H38)</f>
        <v>36612</v>
      </c>
      <c r="I39" s="9">
        <f>H39/F39-1</f>
        <v>4.2708558799740226E-2</v>
      </c>
      <c r="J39" s="62">
        <f>H39-F39</f>
        <v>1499.5999999999985</v>
      </c>
    </row>
    <row r="40" spans="1:10">
      <c r="A40" s="1"/>
      <c r="B40" s="10"/>
      <c r="C40" s="3"/>
      <c r="D40" s="3"/>
      <c r="E40" s="16"/>
      <c r="F40" s="3"/>
      <c r="G40" s="102"/>
      <c r="H40" s="16"/>
      <c r="I40" s="16"/>
    </row>
    <row r="41" spans="1:10">
      <c r="A41" s="4" t="s">
        <v>66</v>
      </c>
      <c r="B41" s="4"/>
      <c r="C41" s="2"/>
      <c r="D41" s="2"/>
      <c r="E41" s="17"/>
      <c r="F41" s="2" t="s">
        <v>54</v>
      </c>
      <c r="G41" s="99" t="s">
        <v>23</v>
      </c>
      <c r="H41" s="17" t="s">
        <v>5</v>
      </c>
      <c r="I41" s="17"/>
    </row>
    <row r="42" spans="1:10">
      <c r="A42" s="5">
        <v>22</v>
      </c>
      <c r="B42" s="1" t="s">
        <v>67</v>
      </c>
      <c r="C42" s="3"/>
      <c r="D42" s="3"/>
      <c r="E42" s="16"/>
      <c r="F42" s="3">
        <v>1000</v>
      </c>
      <c r="G42" s="102">
        <v>813</v>
      </c>
      <c r="H42" s="16">
        <v>1000</v>
      </c>
      <c r="I42" s="25">
        <f>H42/F42-1</f>
        <v>0</v>
      </c>
      <c r="J42" t="s">
        <v>34</v>
      </c>
    </row>
    <row r="43" spans="1:10">
      <c r="A43" s="5">
        <v>23</v>
      </c>
      <c r="B43" s="1" t="s">
        <v>68</v>
      </c>
      <c r="C43" s="3"/>
      <c r="D43" s="3"/>
      <c r="E43" s="16"/>
      <c r="F43" s="3">
        <v>0</v>
      </c>
      <c r="G43" s="102"/>
      <c r="H43" s="16"/>
      <c r="I43" s="16"/>
      <c r="J43" t="s">
        <v>28</v>
      </c>
    </row>
    <row r="44" spans="1:10">
      <c r="A44" s="5">
        <v>24</v>
      </c>
      <c r="B44" s="1" t="s">
        <v>69</v>
      </c>
      <c r="C44" s="3"/>
      <c r="D44" s="3"/>
      <c r="E44" s="16"/>
      <c r="F44" s="3">
        <v>410</v>
      </c>
      <c r="G44" s="102">
        <v>420</v>
      </c>
      <c r="H44" s="21">
        <v>430</v>
      </c>
      <c r="I44" s="25">
        <f>H44/F44-1</f>
        <v>4.8780487804878092E-2</v>
      </c>
      <c r="J44" t="s">
        <v>70</v>
      </c>
    </row>
    <row r="45" spans="1:10">
      <c r="A45" s="5">
        <v>25</v>
      </c>
      <c r="B45" s="1" t="s">
        <v>71</v>
      </c>
      <c r="C45" s="3"/>
      <c r="D45" s="3"/>
      <c r="E45" s="16"/>
      <c r="F45" s="3">
        <v>12000</v>
      </c>
      <c r="G45" s="102">
        <v>7189.33</v>
      </c>
      <c r="H45" s="16">
        <f>19938</f>
        <v>19938</v>
      </c>
      <c r="I45" s="28">
        <f>H45/F45-1</f>
        <v>0.66149999999999998</v>
      </c>
      <c r="J45" s="14" t="s">
        <v>72</v>
      </c>
    </row>
    <row r="46" spans="1:10">
      <c r="A46" s="5">
        <v>26</v>
      </c>
      <c r="B46" s="1" t="s">
        <v>73</v>
      </c>
      <c r="C46" s="3"/>
      <c r="D46" s="3"/>
      <c r="E46" s="16"/>
      <c r="F46" s="3">
        <v>5000</v>
      </c>
      <c r="G46" s="102">
        <v>1715</v>
      </c>
      <c r="H46" s="16">
        <v>5000</v>
      </c>
      <c r="I46" s="25">
        <f>H46/F46-1</f>
        <v>0</v>
      </c>
      <c r="J46" t="s">
        <v>34</v>
      </c>
    </row>
    <row r="47" spans="1:10">
      <c r="A47" s="5">
        <v>35</v>
      </c>
      <c r="B47" s="1" t="s">
        <v>74</v>
      </c>
      <c r="C47" s="3"/>
      <c r="D47" s="3"/>
      <c r="E47" s="16"/>
      <c r="F47" s="3">
        <v>0</v>
      </c>
      <c r="G47" s="102">
        <v>996.62</v>
      </c>
      <c r="H47" s="16">
        <v>1000</v>
      </c>
      <c r="I47" s="25" t="s">
        <v>38</v>
      </c>
      <c r="J47" t="s">
        <v>75</v>
      </c>
    </row>
    <row r="48" spans="1:10">
      <c r="A48" s="5">
        <v>43</v>
      </c>
      <c r="B48" s="1" t="s">
        <v>76</v>
      </c>
      <c r="C48" s="3"/>
      <c r="D48" s="3"/>
      <c r="E48" s="16"/>
      <c r="F48" s="3">
        <v>2000</v>
      </c>
      <c r="G48" s="102">
        <v>1445</v>
      </c>
      <c r="H48" s="16">
        <f>2750</f>
        <v>2750</v>
      </c>
      <c r="I48" s="28">
        <f>H48/F48-1</f>
        <v>0.375</v>
      </c>
      <c r="J48" s="14" t="s">
        <v>77</v>
      </c>
    </row>
    <row r="49" spans="1:10">
      <c r="A49" s="4"/>
      <c r="B49" s="7" t="s">
        <v>20</v>
      </c>
      <c r="C49" s="8"/>
      <c r="D49" s="8"/>
      <c r="E49" s="18"/>
      <c r="F49" s="8">
        <f>SUM(F42:F48)</f>
        <v>20410</v>
      </c>
      <c r="G49" s="104">
        <f>SUM(G42:G48)</f>
        <v>12578.95</v>
      </c>
      <c r="H49" s="8">
        <f>SUM(H42:H48)</f>
        <v>30118</v>
      </c>
      <c r="I49" s="9">
        <f>H49/F49-1</f>
        <v>0.47564919157275853</v>
      </c>
      <c r="J49" s="62">
        <f>H49-F49</f>
        <v>9708</v>
      </c>
    </row>
    <row r="50" spans="1:10">
      <c r="A50" s="1"/>
      <c r="B50" s="1"/>
      <c r="C50" s="3"/>
      <c r="D50" s="3"/>
      <c r="E50" s="16"/>
      <c r="F50" s="3"/>
      <c r="G50" s="102"/>
      <c r="H50" s="16"/>
      <c r="I50" s="16"/>
    </row>
    <row r="51" spans="1:10">
      <c r="A51" s="4" t="s">
        <v>78</v>
      </c>
      <c r="B51" s="4"/>
      <c r="C51" s="2"/>
      <c r="D51" s="2"/>
      <c r="E51" s="17"/>
      <c r="F51" s="2" t="s">
        <v>54</v>
      </c>
      <c r="G51" s="99" t="s">
        <v>23</v>
      </c>
      <c r="H51" s="17"/>
      <c r="I51" s="17"/>
    </row>
    <row r="52" spans="1:10">
      <c r="A52" s="5">
        <v>27</v>
      </c>
      <c r="B52" s="1" t="s">
        <v>79</v>
      </c>
      <c r="C52" s="3"/>
      <c r="D52" s="3"/>
      <c r="E52" s="16"/>
      <c r="F52" s="3">
        <v>3000</v>
      </c>
      <c r="G52" s="102">
        <v>3152.5</v>
      </c>
      <c r="H52" s="16">
        <v>3000</v>
      </c>
      <c r="I52" s="25">
        <f>H52/F52-1</f>
        <v>0</v>
      </c>
      <c r="J52" t="s">
        <v>80</v>
      </c>
    </row>
    <row r="53" spans="1:10">
      <c r="A53" s="4"/>
      <c r="B53" s="7" t="s">
        <v>20</v>
      </c>
      <c r="C53" s="8"/>
      <c r="D53" s="8"/>
      <c r="E53" s="18"/>
      <c r="F53" s="8">
        <f>SUM(F52)</f>
        <v>3000</v>
      </c>
      <c r="G53" s="104">
        <f>G52</f>
        <v>3152.5</v>
      </c>
      <c r="H53" s="18">
        <v>3000</v>
      </c>
      <c r="I53" s="9">
        <f>H53/F53-1</f>
        <v>0</v>
      </c>
      <c r="J53" s="62">
        <f>H53-F53</f>
        <v>0</v>
      </c>
    </row>
    <row r="54" spans="1:10">
      <c r="A54" s="1"/>
      <c r="B54" s="10"/>
      <c r="C54" s="3"/>
      <c r="D54" s="3"/>
      <c r="E54" s="16"/>
      <c r="F54" s="3"/>
      <c r="G54" s="102"/>
      <c r="H54" s="16"/>
      <c r="I54" s="16"/>
    </row>
    <row r="55" spans="1:10">
      <c r="A55" s="4" t="s">
        <v>81</v>
      </c>
      <c r="B55" s="4"/>
      <c r="C55" s="2"/>
      <c r="D55" s="2"/>
      <c r="E55" s="17"/>
      <c r="F55" s="2" t="s">
        <v>54</v>
      </c>
      <c r="G55" s="99" t="s">
        <v>23</v>
      </c>
      <c r="H55" s="17"/>
      <c r="I55" s="17"/>
    </row>
    <row r="56" spans="1:10">
      <c r="A56" s="5">
        <v>28</v>
      </c>
      <c r="B56" s="1" t="s">
        <v>82</v>
      </c>
      <c r="C56" s="3"/>
      <c r="D56" s="3"/>
      <c r="E56" s="16"/>
      <c r="F56" s="3">
        <v>6000</v>
      </c>
      <c r="G56" s="102">
        <v>3192</v>
      </c>
      <c r="H56" s="16">
        <v>6000</v>
      </c>
      <c r="I56" s="25">
        <f>H56/F56-1</f>
        <v>0</v>
      </c>
      <c r="J56" t="s">
        <v>83</v>
      </c>
    </row>
    <row r="57" spans="1:10">
      <c r="A57" s="4"/>
      <c r="B57" s="7" t="s">
        <v>20</v>
      </c>
      <c r="C57" s="8"/>
      <c r="D57" s="8"/>
      <c r="E57" s="18"/>
      <c r="F57" s="8">
        <f>SUM(F56)</f>
        <v>6000</v>
      </c>
      <c r="G57" s="104">
        <f>G56</f>
        <v>3192</v>
      </c>
      <c r="H57" s="18">
        <v>6000</v>
      </c>
      <c r="I57" s="9">
        <f>H57/F57-1</f>
        <v>0</v>
      </c>
      <c r="J57" s="62">
        <f>H57-F57</f>
        <v>0</v>
      </c>
    </row>
    <row r="58" spans="1:10">
      <c r="A58" s="1"/>
      <c r="B58" s="10"/>
      <c r="C58" s="3"/>
      <c r="D58" s="3"/>
      <c r="E58" s="16"/>
      <c r="F58" s="3"/>
      <c r="G58" s="102"/>
      <c r="H58" s="16"/>
      <c r="I58" s="16"/>
    </row>
    <row r="59" spans="1:10">
      <c r="A59" s="4" t="s">
        <v>84</v>
      </c>
      <c r="B59" s="4"/>
      <c r="C59" s="2"/>
      <c r="D59" s="2"/>
      <c r="E59" s="17"/>
      <c r="F59" s="2" t="s">
        <v>54</v>
      </c>
      <c r="G59" s="99" t="s">
        <v>23</v>
      </c>
      <c r="H59" s="17"/>
      <c r="I59" s="17"/>
    </row>
    <row r="60" spans="1:10" ht="45">
      <c r="A60" s="5">
        <v>29</v>
      </c>
      <c r="B60" s="1" t="s">
        <v>85</v>
      </c>
      <c r="C60" s="3"/>
      <c r="D60" s="3"/>
      <c r="E60" s="16"/>
      <c r="F60" s="3">
        <v>57455</v>
      </c>
      <c r="G60" s="102">
        <v>34048.69</v>
      </c>
      <c r="H60" s="16">
        <f>'Renumeration V3'!K25</f>
        <v>60457.56426606993</v>
      </c>
      <c r="I60" s="28">
        <f>H60/F60-1</f>
        <v>5.2259407641979561E-2</v>
      </c>
      <c r="J60" s="49" t="s">
        <v>86</v>
      </c>
    </row>
    <row r="61" spans="1:10">
      <c r="A61" s="5">
        <v>30</v>
      </c>
      <c r="B61" s="1" t="s">
        <v>87</v>
      </c>
      <c r="C61" s="3"/>
      <c r="D61" s="3"/>
      <c r="E61" s="16"/>
      <c r="F61" s="3">
        <v>1000</v>
      </c>
      <c r="G61" s="102"/>
      <c r="H61" s="16">
        <v>1000</v>
      </c>
      <c r="I61" s="25">
        <f>H61/F61-1</f>
        <v>0</v>
      </c>
      <c r="J61" t="s">
        <v>34</v>
      </c>
    </row>
    <row r="62" spans="1:10">
      <c r="A62" s="5">
        <v>31</v>
      </c>
      <c r="B62" s="1" t="s">
        <v>88</v>
      </c>
      <c r="C62" s="3"/>
      <c r="D62" s="3"/>
      <c r="E62" s="16"/>
      <c r="F62" s="3">
        <v>500</v>
      </c>
      <c r="G62" s="102">
        <v>305</v>
      </c>
      <c r="H62" s="16">
        <v>500</v>
      </c>
      <c r="I62" s="25">
        <f>H62/F62-1</f>
        <v>0</v>
      </c>
      <c r="J62" t="s">
        <v>34</v>
      </c>
    </row>
    <row r="63" spans="1:10">
      <c r="A63" s="4"/>
      <c r="B63" s="7" t="s">
        <v>20</v>
      </c>
      <c r="C63" s="8"/>
      <c r="D63" s="8"/>
      <c r="E63" s="18"/>
      <c r="F63" s="8">
        <f>SUM(F60:F62)</f>
        <v>58955</v>
      </c>
      <c r="G63" s="104">
        <f>SUM(G60:G62)</f>
        <v>34353.69</v>
      </c>
      <c r="H63" s="8">
        <f>SUM(H60:H62)</f>
        <v>61957.56426606993</v>
      </c>
      <c r="I63" s="9">
        <f>H63/F63-1</f>
        <v>5.0929764499532348E-2</v>
      </c>
      <c r="J63" s="62">
        <f>H63-F63</f>
        <v>3002.5642660699305</v>
      </c>
    </row>
    <row r="64" spans="1:10">
      <c r="A64" s="1"/>
      <c r="B64" s="10"/>
      <c r="C64" s="3"/>
      <c r="D64" s="3"/>
      <c r="E64" s="16"/>
      <c r="F64" s="3"/>
      <c r="G64" s="102"/>
      <c r="H64" s="16"/>
      <c r="I64" s="16"/>
    </row>
    <row r="65" spans="1:10" ht="15.75" thickBot="1">
      <c r="A65" s="11" t="s">
        <v>89</v>
      </c>
      <c r="B65" s="11" t="s">
        <v>90</v>
      </c>
      <c r="C65" s="12"/>
      <c r="D65" s="12"/>
      <c r="E65" s="19"/>
      <c r="F65" s="12">
        <f>F31+F39+F49+F53+F57+F63</f>
        <v>134807.66999999998</v>
      </c>
      <c r="G65" s="105">
        <f>G31+G39+G49+G53+G57+G63</f>
        <v>121414.81999999999</v>
      </c>
      <c r="H65" s="12">
        <f>H31+H39+H49+H53+H57+H63</f>
        <v>160093.56426606994</v>
      </c>
      <c r="I65" s="61">
        <f>H65-F65</f>
        <v>25285.894266069954</v>
      </c>
      <c r="J65" s="64"/>
    </row>
    <row r="66" spans="1:10" s="15" customFormat="1" ht="15.75" thickBot="1">
      <c r="A66" s="1"/>
      <c r="B66" s="13"/>
      <c r="C66" s="3"/>
      <c r="D66" s="3"/>
      <c r="E66" s="16"/>
      <c r="F66" s="2"/>
      <c r="G66" s="99"/>
      <c r="H66" s="16"/>
      <c r="I66" s="65">
        <f>I65/F65</f>
        <v>0.18757014542325343</v>
      </c>
      <c r="J66" s="66" t="s">
        <v>91</v>
      </c>
    </row>
    <row r="67" spans="1:10" s="15" customFormat="1">
      <c r="A67" s="1"/>
      <c r="B67" s="1"/>
      <c r="C67" s="3"/>
      <c r="D67" s="3"/>
      <c r="E67" s="16"/>
      <c r="F67" s="2"/>
      <c r="G67" s="99"/>
      <c r="H67" s="16"/>
      <c r="I67" s="25">
        <f>J63/I65</f>
        <v>0.11874463424055923</v>
      </c>
      <c r="J67" t="s">
        <v>92</v>
      </c>
    </row>
    <row r="68" spans="1:10">
      <c r="I68" s="25">
        <f>J49/I65</f>
        <v>0.38392947063085464</v>
      </c>
      <c r="J68" t="s">
        <v>93</v>
      </c>
    </row>
    <row r="69" spans="1:10">
      <c r="I69" s="25">
        <f>J39/I65</f>
        <v>5.9305792558511441E-2</v>
      </c>
      <c r="J69" t="s">
        <v>94</v>
      </c>
    </row>
    <row r="70" spans="1:10">
      <c r="I70" s="25">
        <f>J31/I65</f>
        <v>0.43802010257007368</v>
      </c>
      <c r="J70" t="s">
        <v>95</v>
      </c>
    </row>
    <row r="71" spans="1:10">
      <c r="H71" s="26"/>
      <c r="I71" s="25"/>
    </row>
    <row r="72" spans="1:10">
      <c r="I72" s="25"/>
    </row>
    <row r="73" spans="1:10">
      <c r="H73" s="26"/>
    </row>
    <row r="74" spans="1:10">
      <c r="H74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42F5-C5AF-4E01-B7F5-E2A382E0E644}">
  <dimension ref="A1:E10"/>
  <sheetViews>
    <sheetView workbookViewId="0">
      <selection activeCell="P17" sqref="P17"/>
    </sheetView>
  </sheetViews>
  <sheetFormatPr defaultRowHeight="15"/>
  <cols>
    <col min="1" max="1" width="26.28515625" bestFit="1" customWidth="1"/>
    <col min="2" max="2" width="16.7109375" bestFit="1" customWidth="1"/>
    <col min="3" max="3" width="16" bestFit="1" customWidth="1"/>
    <col min="4" max="4" width="16.7109375" bestFit="1" customWidth="1"/>
    <col min="5" max="5" width="16" bestFit="1" customWidth="1"/>
  </cols>
  <sheetData>
    <row r="1" spans="1:5" ht="30.75" customHeight="1">
      <c r="A1" s="117"/>
      <c r="B1" s="116" t="s">
        <v>0</v>
      </c>
      <c r="C1" s="116"/>
      <c r="D1" s="116" t="s">
        <v>1</v>
      </c>
      <c r="E1" s="116"/>
    </row>
    <row r="2" spans="1:5">
      <c r="A2" s="118"/>
      <c r="B2" s="109" t="s">
        <v>22</v>
      </c>
      <c r="C2" s="109" t="s">
        <v>24</v>
      </c>
      <c r="D2" s="109" t="s">
        <v>22</v>
      </c>
      <c r="E2" s="109" t="s">
        <v>24</v>
      </c>
    </row>
    <row r="3" spans="1:5">
      <c r="A3" s="110" t="s">
        <v>2</v>
      </c>
      <c r="B3" s="111">
        <v>135051.15</v>
      </c>
      <c r="C3" s="111">
        <v>160093.56426606994</v>
      </c>
      <c r="D3" s="108"/>
      <c r="E3" s="108"/>
    </row>
    <row r="4" spans="1:5">
      <c r="A4" s="112" t="s">
        <v>21</v>
      </c>
      <c r="B4" s="108"/>
      <c r="C4" s="108"/>
      <c r="D4" s="111">
        <v>11330.27</v>
      </c>
      <c r="E4" s="111">
        <v>22406</v>
      </c>
    </row>
    <row r="5" spans="1:5">
      <c r="A5" s="110" t="s">
        <v>53</v>
      </c>
      <c r="B5" s="108"/>
      <c r="C5" s="108"/>
      <c r="D5" s="111">
        <v>35112.400000000001</v>
      </c>
      <c r="E5" s="111">
        <v>36612</v>
      </c>
    </row>
    <row r="6" spans="1:5">
      <c r="A6" s="110" t="s">
        <v>66</v>
      </c>
      <c r="B6" s="108"/>
      <c r="C6" s="108"/>
      <c r="D6" s="111">
        <v>20410</v>
      </c>
      <c r="E6" s="111">
        <v>30118</v>
      </c>
    </row>
    <row r="7" spans="1:5">
      <c r="A7" s="110" t="s">
        <v>78</v>
      </c>
      <c r="B7" s="108"/>
      <c r="C7" s="108"/>
      <c r="D7" s="111">
        <v>3000</v>
      </c>
      <c r="E7" s="111">
        <v>3000</v>
      </c>
    </row>
    <row r="8" spans="1:5">
      <c r="A8" s="110" t="s">
        <v>81</v>
      </c>
      <c r="B8" s="108"/>
      <c r="C8" s="108"/>
      <c r="D8" s="111">
        <v>6000</v>
      </c>
      <c r="E8" s="111">
        <v>6000</v>
      </c>
    </row>
    <row r="9" spans="1:5">
      <c r="A9" s="110" t="s">
        <v>84</v>
      </c>
      <c r="B9" s="108"/>
      <c r="C9" s="108"/>
      <c r="D9" s="111">
        <v>58955</v>
      </c>
      <c r="E9" s="111">
        <v>61957.56426606993</v>
      </c>
    </row>
    <row r="10" spans="1:5">
      <c r="A10" s="114" t="s">
        <v>96</v>
      </c>
      <c r="B10" s="113">
        <f>SUM(B3:B9)</f>
        <v>135051.15</v>
      </c>
      <c r="C10" s="113">
        <f t="shared" ref="C10:D10" si="0">SUM(C3:C9)</f>
        <v>160093.56426606994</v>
      </c>
      <c r="D10" s="113">
        <f t="shared" si="0"/>
        <v>134807.66999999998</v>
      </c>
      <c r="E10" s="113">
        <f>SUM(E3:E9)</f>
        <v>160093.56426606994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374C-217B-4969-A1EC-F30EA2F8DBB3}">
  <dimension ref="A1:N41"/>
  <sheetViews>
    <sheetView workbookViewId="0">
      <selection activeCell="E46" sqref="E46"/>
    </sheetView>
  </sheetViews>
  <sheetFormatPr defaultRowHeight="12.75"/>
  <cols>
    <col min="1" max="1" width="16.140625" style="29" bestFit="1" customWidth="1"/>
    <col min="2" max="2" width="12.85546875" style="32" bestFit="1" customWidth="1"/>
    <col min="3" max="3" width="23" style="29" bestFit="1" customWidth="1"/>
    <col min="4" max="4" width="13.85546875" style="32" bestFit="1" customWidth="1"/>
    <col min="5" max="5" width="24.140625" style="50" bestFit="1" customWidth="1"/>
    <col min="6" max="6" width="22.85546875" style="32" bestFit="1" customWidth="1"/>
    <col min="7" max="7" width="16.28515625" style="32" bestFit="1" customWidth="1"/>
    <col min="8" max="9" width="10.28515625" style="32" bestFit="1" customWidth="1"/>
    <col min="10" max="10" width="21.7109375" style="32" bestFit="1" customWidth="1"/>
    <col min="11" max="11" width="11.28515625" style="32" bestFit="1" customWidth="1"/>
    <col min="12" max="12" width="9.140625" style="32"/>
    <col min="13" max="13" width="9.140625" style="29"/>
    <col min="14" max="14" width="27.140625" style="32" bestFit="1" customWidth="1"/>
    <col min="15" max="247" width="9.140625" style="32"/>
    <col min="248" max="248" width="16.140625" style="32" bestFit="1" customWidth="1"/>
    <col min="249" max="249" width="11.28515625" style="32" bestFit="1" customWidth="1"/>
    <col min="250" max="250" width="24.5703125" style="32" bestFit="1" customWidth="1"/>
    <col min="251" max="252" width="11.28515625" style="32" bestFit="1" customWidth="1"/>
    <col min="253" max="254" width="10.28515625" style="32" bestFit="1" customWidth="1"/>
    <col min="255" max="255" width="22.28515625" style="32" bestFit="1" customWidth="1"/>
    <col min="256" max="256" width="12.28515625" style="32" bestFit="1" customWidth="1"/>
    <col min="257" max="257" width="17.28515625" style="32" bestFit="1" customWidth="1"/>
    <col min="258" max="503" width="9.140625" style="32"/>
    <col min="504" max="504" width="16.140625" style="32" bestFit="1" customWidth="1"/>
    <col min="505" max="505" width="11.28515625" style="32" bestFit="1" customWidth="1"/>
    <col min="506" max="506" width="24.5703125" style="32" bestFit="1" customWidth="1"/>
    <col min="507" max="508" width="11.28515625" style="32" bestFit="1" customWidth="1"/>
    <col min="509" max="510" width="10.28515625" style="32" bestFit="1" customWidth="1"/>
    <col min="511" max="511" width="22.28515625" style="32" bestFit="1" customWidth="1"/>
    <col min="512" max="512" width="12.28515625" style="32" bestFit="1" customWidth="1"/>
    <col min="513" max="513" width="17.28515625" style="32" bestFit="1" customWidth="1"/>
    <col min="514" max="759" width="9.140625" style="32"/>
    <col min="760" max="760" width="16.140625" style="32" bestFit="1" customWidth="1"/>
    <col min="761" max="761" width="11.28515625" style="32" bestFit="1" customWidth="1"/>
    <col min="762" max="762" width="24.5703125" style="32" bestFit="1" customWidth="1"/>
    <col min="763" max="764" width="11.28515625" style="32" bestFit="1" customWidth="1"/>
    <col min="765" max="766" width="10.28515625" style="32" bestFit="1" customWidth="1"/>
    <col min="767" max="767" width="22.28515625" style="32" bestFit="1" customWidth="1"/>
    <col min="768" max="768" width="12.28515625" style="32" bestFit="1" customWidth="1"/>
    <col min="769" max="769" width="17.28515625" style="32" bestFit="1" customWidth="1"/>
    <col min="770" max="1015" width="9.140625" style="32"/>
    <col min="1016" max="1016" width="16.140625" style="32" bestFit="1" customWidth="1"/>
    <col min="1017" max="1017" width="11.28515625" style="32" bestFit="1" customWidth="1"/>
    <col min="1018" max="1018" width="24.5703125" style="32" bestFit="1" customWidth="1"/>
    <col min="1019" max="1020" width="11.28515625" style="32" bestFit="1" customWidth="1"/>
    <col min="1021" max="1022" width="10.28515625" style="32" bestFit="1" customWidth="1"/>
    <col min="1023" max="1023" width="22.28515625" style="32" bestFit="1" customWidth="1"/>
    <col min="1024" max="1024" width="12.28515625" style="32" bestFit="1" customWidth="1"/>
    <col min="1025" max="1025" width="17.28515625" style="32" bestFit="1" customWidth="1"/>
    <col min="1026" max="1271" width="9.140625" style="32"/>
    <col min="1272" max="1272" width="16.140625" style="32" bestFit="1" customWidth="1"/>
    <col min="1273" max="1273" width="11.28515625" style="32" bestFit="1" customWidth="1"/>
    <col min="1274" max="1274" width="24.5703125" style="32" bestFit="1" customWidth="1"/>
    <col min="1275" max="1276" width="11.28515625" style="32" bestFit="1" customWidth="1"/>
    <col min="1277" max="1278" width="10.28515625" style="32" bestFit="1" customWidth="1"/>
    <col min="1279" max="1279" width="22.28515625" style="32" bestFit="1" customWidth="1"/>
    <col min="1280" max="1280" width="12.28515625" style="32" bestFit="1" customWidth="1"/>
    <col min="1281" max="1281" width="17.28515625" style="32" bestFit="1" customWidth="1"/>
    <col min="1282" max="1527" width="9.140625" style="32"/>
    <col min="1528" max="1528" width="16.140625" style="32" bestFit="1" customWidth="1"/>
    <col min="1529" max="1529" width="11.28515625" style="32" bestFit="1" customWidth="1"/>
    <col min="1530" max="1530" width="24.5703125" style="32" bestFit="1" customWidth="1"/>
    <col min="1531" max="1532" width="11.28515625" style="32" bestFit="1" customWidth="1"/>
    <col min="1533" max="1534" width="10.28515625" style="32" bestFit="1" customWidth="1"/>
    <col min="1535" max="1535" width="22.28515625" style="32" bestFit="1" customWidth="1"/>
    <col min="1536" max="1536" width="12.28515625" style="32" bestFit="1" customWidth="1"/>
    <col min="1537" max="1537" width="17.28515625" style="32" bestFit="1" customWidth="1"/>
    <col min="1538" max="1783" width="9.140625" style="32"/>
    <col min="1784" max="1784" width="16.140625" style="32" bestFit="1" customWidth="1"/>
    <col min="1785" max="1785" width="11.28515625" style="32" bestFit="1" customWidth="1"/>
    <col min="1786" max="1786" width="24.5703125" style="32" bestFit="1" customWidth="1"/>
    <col min="1787" max="1788" width="11.28515625" style="32" bestFit="1" customWidth="1"/>
    <col min="1789" max="1790" width="10.28515625" style="32" bestFit="1" customWidth="1"/>
    <col min="1791" max="1791" width="22.28515625" style="32" bestFit="1" customWidth="1"/>
    <col min="1792" max="1792" width="12.28515625" style="32" bestFit="1" customWidth="1"/>
    <col min="1793" max="1793" width="17.28515625" style="32" bestFit="1" customWidth="1"/>
    <col min="1794" max="2039" width="9.140625" style="32"/>
    <col min="2040" max="2040" width="16.140625" style="32" bestFit="1" customWidth="1"/>
    <col min="2041" max="2041" width="11.28515625" style="32" bestFit="1" customWidth="1"/>
    <col min="2042" max="2042" width="24.5703125" style="32" bestFit="1" customWidth="1"/>
    <col min="2043" max="2044" width="11.28515625" style="32" bestFit="1" customWidth="1"/>
    <col min="2045" max="2046" width="10.28515625" style="32" bestFit="1" customWidth="1"/>
    <col min="2047" max="2047" width="22.28515625" style="32" bestFit="1" customWidth="1"/>
    <col min="2048" max="2048" width="12.28515625" style="32" bestFit="1" customWidth="1"/>
    <col min="2049" max="2049" width="17.28515625" style="32" bestFit="1" customWidth="1"/>
    <col min="2050" max="2295" width="9.140625" style="32"/>
    <col min="2296" max="2296" width="16.140625" style="32" bestFit="1" customWidth="1"/>
    <col min="2297" max="2297" width="11.28515625" style="32" bestFit="1" customWidth="1"/>
    <col min="2298" max="2298" width="24.5703125" style="32" bestFit="1" customWidth="1"/>
    <col min="2299" max="2300" width="11.28515625" style="32" bestFit="1" customWidth="1"/>
    <col min="2301" max="2302" width="10.28515625" style="32" bestFit="1" customWidth="1"/>
    <col min="2303" max="2303" width="22.28515625" style="32" bestFit="1" customWidth="1"/>
    <col min="2304" max="2304" width="12.28515625" style="32" bestFit="1" customWidth="1"/>
    <col min="2305" max="2305" width="17.28515625" style="32" bestFit="1" customWidth="1"/>
    <col min="2306" max="2551" width="9.140625" style="32"/>
    <col min="2552" max="2552" width="16.140625" style="32" bestFit="1" customWidth="1"/>
    <col min="2553" max="2553" width="11.28515625" style="32" bestFit="1" customWidth="1"/>
    <col min="2554" max="2554" width="24.5703125" style="32" bestFit="1" customWidth="1"/>
    <col min="2555" max="2556" width="11.28515625" style="32" bestFit="1" customWidth="1"/>
    <col min="2557" max="2558" width="10.28515625" style="32" bestFit="1" customWidth="1"/>
    <col min="2559" max="2559" width="22.28515625" style="32" bestFit="1" customWidth="1"/>
    <col min="2560" max="2560" width="12.28515625" style="32" bestFit="1" customWidth="1"/>
    <col min="2561" max="2561" width="17.28515625" style="32" bestFit="1" customWidth="1"/>
    <col min="2562" max="2807" width="9.140625" style="32"/>
    <col min="2808" max="2808" width="16.140625" style="32" bestFit="1" customWidth="1"/>
    <col min="2809" max="2809" width="11.28515625" style="32" bestFit="1" customWidth="1"/>
    <col min="2810" max="2810" width="24.5703125" style="32" bestFit="1" customWidth="1"/>
    <col min="2811" max="2812" width="11.28515625" style="32" bestFit="1" customWidth="1"/>
    <col min="2813" max="2814" width="10.28515625" style="32" bestFit="1" customWidth="1"/>
    <col min="2815" max="2815" width="22.28515625" style="32" bestFit="1" customWidth="1"/>
    <col min="2816" max="2816" width="12.28515625" style="32" bestFit="1" customWidth="1"/>
    <col min="2817" max="2817" width="17.28515625" style="32" bestFit="1" customWidth="1"/>
    <col min="2818" max="3063" width="9.140625" style="32"/>
    <col min="3064" max="3064" width="16.140625" style="32" bestFit="1" customWidth="1"/>
    <col min="3065" max="3065" width="11.28515625" style="32" bestFit="1" customWidth="1"/>
    <col min="3066" max="3066" width="24.5703125" style="32" bestFit="1" customWidth="1"/>
    <col min="3067" max="3068" width="11.28515625" style="32" bestFit="1" customWidth="1"/>
    <col min="3069" max="3070" width="10.28515625" style="32" bestFit="1" customWidth="1"/>
    <col min="3071" max="3071" width="22.28515625" style="32" bestFit="1" customWidth="1"/>
    <col min="3072" max="3072" width="12.28515625" style="32" bestFit="1" customWidth="1"/>
    <col min="3073" max="3073" width="17.28515625" style="32" bestFit="1" customWidth="1"/>
    <col min="3074" max="3319" width="9.140625" style="32"/>
    <col min="3320" max="3320" width="16.140625" style="32" bestFit="1" customWidth="1"/>
    <col min="3321" max="3321" width="11.28515625" style="32" bestFit="1" customWidth="1"/>
    <col min="3322" max="3322" width="24.5703125" style="32" bestFit="1" customWidth="1"/>
    <col min="3323" max="3324" width="11.28515625" style="32" bestFit="1" customWidth="1"/>
    <col min="3325" max="3326" width="10.28515625" style="32" bestFit="1" customWidth="1"/>
    <col min="3327" max="3327" width="22.28515625" style="32" bestFit="1" customWidth="1"/>
    <col min="3328" max="3328" width="12.28515625" style="32" bestFit="1" customWidth="1"/>
    <col min="3329" max="3329" width="17.28515625" style="32" bestFit="1" customWidth="1"/>
    <col min="3330" max="3575" width="9.140625" style="32"/>
    <col min="3576" max="3576" width="16.140625" style="32" bestFit="1" customWidth="1"/>
    <col min="3577" max="3577" width="11.28515625" style="32" bestFit="1" customWidth="1"/>
    <col min="3578" max="3578" width="24.5703125" style="32" bestFit="1" customWidth="1"/>
    <col min="3579" max="3580" width="11.28515625" style="32" bestFit="1" customWidth="1"/>
    <col min="3581" max="3582" width="10.28515625" style="32" bestFit="1" customWidth="1"/>
    <col min="3583" max="3583" width="22.28515625" style="32" bestFit="1" customWidth="1"/>
    <col min="3584" max="3584" width="12.28515625" style="32" bestFit="1" customWidth="1"/>
    <col min="3585" max="3585" width="17.28515625" style="32" bestFit="1" customWidth="1"/>
    <col min="3586" max="3831" width="9.140625" style="32"/>
    <col min="3832" max="3832" width="16.140625" style="32" bestFit="1" customWidth="1"/>
    <col min="3833" max="3833" width="11.28515625" style="32" bestFit="1" customWidth="1"/>
    <col min="3834" max="3834" width="24.5703125" style="32" bestFit="1" customWidth="1"/>
    <col min="3835" max="3836" width="11.28515625" style="32" bestFit="1" customWidth="1"/>
    <col min="3837" max="3838" width="10.28515625" style="32" bestFit="1" customWidth="1"/>
    <col min="3839" max="3839" width="22.28515625" style="32" bestFit="1" customWidth="1"/>
    <col min="3840" max="3840" width="12.28515625" style="32" bestFit="1" customWidth="1"/>
    <col min="3841" max="3841" width="17.28515625" style="32" bestFit="1" customWidth="1"/>
    <col min="3842" max="4087" width="9.140625" style="32"/>
    <col min="4088" max="4088" width="16.140625" style="32" bestFit="1" customWidth="1"/>
    <col min="4089" max="4089" width="11.28515625" style="32" bestFit="1" customWidth="1"/>
    <col min="4090" max="4090" width="24.5703125" style="32" bestFit="1" customWidth="1"/>
    <col min="4091" max="4092" width="11.28515625" style="32" bestFit="1" customWidth="1"/>
    <col min="4093" max="4094" width="10.28515625" style="32" bestFit="1" customWidth="1"/>
    <col min="4095" max="4095" width="22.28515625" style="32" bestFit="1" customWidth="1"/>
    <col min="4096" max="4096" width="12.28515625" style="32" bestFit="1" customWidth="1"/>
    <col min="4097" max="4097" width="17.28515625" style="32" bestFit="1" customWidth="1"/>
    <col min="4098" max="4343" width="9.140625" style="32"/>
    <col min="4344" max="4344" width="16.140625" style="32" bestFit="1" customWidth="1"/>
    <col min="4345" max="4345" width="11.28515625" style="32" bestFit="1" customWidth="1"/>
    <col min="4346" max="4346" width="24.5703125" style="32" bestFit="1" customWidth="1"/>
    <col min="4347" max="4348" width="11.28515625" style="32" bestFit="1" customWidth="1"/>
    <col min="4349" max="4350" width="10.28515625" style="32" bestFit="1" customWidth="1"/>
    <col min="4351" max="4351" width="22.28515625" style="32" bestFit="1" customWidth="1"/>
    <col min="4352" max="4352" width="12.28515625" style="32" bestFit="1" customWidth="1"/>
    <col min="4353" max="4353" width="17.28515625" style="32" bestFit="1" customWidth="1"/>
    <col min="4354" max="4599" width="9.140625" style="32"/>
    <col min="4600" max="4600" width="16.140625" style="32" bestFit="1" customWidth="1"/>
    <col min="4601" max="4601" width="11.28515625" style="32" bestFit="1" customWidth="1"/>
    <col min="4602" max="4602" width="24.5703125" style="32" bestFit="1" customWidth="1"/>
    <col min="4603" max="4604" width="11.28515625" style="32" bestFit="1" customWidth="1"/>
    <col min="4605" max="4606" width="10.28515625" style="32" bestFit="1" customWidth="1"/>
    <col min="4607" max="4607" width="22.28515625" style="32" bestFit="1" customWidth="1"/>
    <col min="4608" max="4608" width="12.28515625" style="32" bestFit="1" customWidth="1"/>
    <col min="4609" max="4609" width="17.28515625" style="32" bestFit="1" customWidth="1"/>
    <col min="4610" max="4855" width="9.140625" style="32"/>
    <col min="4856" max="4856" width="16.140625" style="32" bestFit="1" customWidth="1"/>
    <col min="4857" max="4857" width="11.28515625" style="32" bestFit="1" customWidth="1"/>
    <col min="4858" max="4858" width="24.5703125" style="32" bestFit="1" customWidth="1"/>
    <col min="4859" max="4860" width="11.28515625" style="32" bestFit="1" customWidth="1"/>
    <col min="4861" max="4862" width="10.28515625" style="32" bestFit="1" customWidth="1"/>
    <col min="4863" max="4863" width="22.28515625" style="32" bestFit="1" customWidth="1"/>
    <col min="4864" max="4864" width="12.28515625" style="32" bestFit="1" customWidth="1"/>
    <col min="4865" max="4865" width="17.28515625" style="32" bestFit="1" customWidth="1"/>
    <col min="4866" max="5111" width="9.140625" style="32"/>
    <col min="5112" max="5112" width="16.140625" style="32" bestFit="1" customWidth="1"/>
    <col min="5113" max="5113" width="11.28515625" style="32" bestFit="1" customWidth="1"/>
    <col min="5114" max="5114" width="24.5703125" style="32" bestFit="1" customWidth="1"/>
    <col min="5115" max="5116" width="11.28515625" style="32" bestFit="1" customWidth="1"/>
    <col min="5117" max="5118" width="10.28515625" style="32" bestFit="1" customWidth="1"/>
    <col min="5119" max="5119" width="22.28515625" style="32" bestFit="1" customWidth="1"/>
    <col min="5120" max="5120" width="12.28515625" style="32" bestFit="1" customWidth="1"/>
    <col min="5121" max="5121" width="17.28515625" style="32" bestFit="1" customWidth="1"/>
    <col min="5122" max="5367" width="9.140625" style="32"/>
    <col min="5368" max="5368" width="16.140625" style="32" bestFit="1" customWidth="1"/>
    <col min="5369" max="5369" width="11.28515625" style="32" bestFit="1" customWidth="1"/>
    <col min="5370" max="5370" width="24.5703125" style="32" bestFit="1" customWidth="1"/>
    <col min="5371" max="5372" width="11.28515625" style="32" bestFit="1" customWidth="1"/>
    <col min="5373" max="5374" width="10.28515625" style="32" bestFit="1" customWidth="1"/>
    <col min="5375" max="5375" width="22.28515625" style="32" bestFit="1" customWidth="1"/>
    <col min="5376" max="5376" width="12.28515625" style="32" bestFit="1" customWidth="1"/>
    <col min="5377" max="5377" width="17.28515625" style="32" bestFit="1" customWidth="1"/>
    <col min="5378" max="5623" width="9.140625" style="32"/>
    <col min="5624" max="5624" width="16.140625" style="32" bestFit="1" customWidth="1"/>
    <col min="5625" max="5625" width="11.28515625" style="32" bestFit="1" customWidth="1"/>
    <col min="5626" max="5626" width="24.5703125" style="32" bestFit="1" customWidth="1"/>
    <col min="5627" max="5628" width="11.28515625" style="32" bestFit="1" customWidth="1"/>
    <col min="5629" max="5630" width="10.28515625" style="32" bestFit="1" customWidth="1"/>
    <col min="5631" max="5631" width="22.28515625" style="32" bestFit="1" customWidth="1"/>
    <col min="5632" max="5632" width="12.28515625" style="32" bestFit="1" customWidth="1"/>
    <col min="5633" max="5633" width="17.28515625" style="32" bestFit="1" customWidth="1"/>
    <col min="5634" max="5879" width="9.140625" style="32"/>
    <col min="5880" max="5880" width="16.140625" style="32" bestFit="1" customWidth="1"/>
    <col min="5881" max="5881" width="11.28515625" style="32" bestFit="1" customWidth="1"/>
    <col min="5882" max="5882" width="24.5703125" style="32" bestFit="1" customWidth="1"/>
    <col min="5883" max="5884" width="11.28515625" style="32" bestFit="1" customWidth="1"/>
    <col min="5885" max="5886" width="10.28515625" style="32" bestFit="1" customWidth="1"/>
    <col min="5887" max="5887" width="22.28515625" style="32" bestFit="1" customWidth="1"/>
    <col min="5888" max="5888" width="12.28515625" style="32" bestFit="1" customWidth="1"/>
    <col min="5889" max="5889" width="17.28515625" style="32" bestFit="1" customWidth="1"/>
    <col min="5890" max="6135" width="9.140625" style="32"/>
    <col min="6136" max="6136" width="16.140625" style="32" bestFit="1" customWidth="1"/>
    <col min="6137" max="6137" width="11.28515625" style="32" bestFit="1" customWidth="1"/>
    <col min="6138" max="6138" width="24.5703125" style="32" bestFit="1" customWidth="1"/>
    <col min="6139" max="6140" width="11.28515625" style="32" bestFit="1" customWidth="1"/>
    <col min="6141" max="6142" width="10.28515625" style="32" bestFit="1" customWidth="1"/>
    <col min="6143" max="6143" width="22.28515625" style="32" bestFit="1" customWidth="1"/>
    <col min="6144" max="6144" width="12.28515625" style="32" bestFit="1" customWidth="1"/>
    <col min="6145" max="6145" width="17.28515625" style="32" bestFit="1" customWidth="1"/>
    <col min="6146" max="6391" width="9.140625" style="32"/>
    <col min="6392" max="6392" width="16.140625" style="32" bestFit="1" customWidth="1"/>
    <col min="6393" max="6393" width="11.28515625" style="32" bestFit="1" customWidth="1"/>
    <col min="6394" max="6394" width="24.5703125" style="32" bestFit="1" customWidth="1"/>
    <col min="6395" max="6396" width="11.28515625" style="32" bestFit="1" customWidth="1"/>
    <col min="6397" max="6398" width="10.28515625" style="32" bestFit="1" customWidth="1"/>
    <col min="6399" max="6399" width="22.28515625" style="32" bestFit="1" customWidth="1"/>
    <col min="6400" max="6400" width="12.28515625" style="32" bestFit="1" customWidth="1"/>
    <col min="6401" max="6401" width="17.28515625" style="32" bestFit="1" customWidth="1"/>
    <col min="6402" max="6647" width="9.140625" style="32"/>
    <col min="6648" max="6648" width="16.140625" style="32" bestFit="1" customWidth="1"/>
    <col min="6649" max="6649" width="11.28515625" style="32" bestFit="1" customWidth="1"/>
    <col min="6650" max="6650" width="24.5703125" style="32" bestFit="1" customWidth="1"/>
    <col min="6651" max="6652" width="11.28515625" style="32" bestFit="1" customWidth="1"/>
    <col min="6653" max="6654" width="10.28515625" style="32" bestFit="1" customWidth="1"/>
    <col min="6655" max="6655" width="22.28515625" style="32" bestFit="1" customWidth="1"/>
    <col min="6656" max="6656" width="12.28515625" style="32" bestFit="1" customWidth="1"/>
    <col min="6657" max="6657" width="17.28515625" style="32" bestFit="1" customWidth="1"/>
    <col min="6658" max="6903" width="9.140625" style="32"/>
    <col min="6904" max="6904" width="16.140625" style="32" bestFit="1" customWidth="1"/>
    <col min="6905" max="6905" width="11.28515625" style="32" bestFit="1" customWidth="1"/>
    <col min="6906" max="6906" width="24.5703125" style="32" bestFit="1" customWidth="1"/>
    <col min="6907" max="6908" width="11.28515625" style="32" bestFit="1" customWidth="1"/>
    <col min="6909" max="6910" width="10.28515625" style="32" bestFit="1" customWidth="1"/>
    <col min="6911" max="6911" width="22.28515625" style="32" bestFit="1" customWidth="1"/>
    <col min="6912" max="6912" width="12.28515625" style="32" bestFit="1" customWidth="1"/>
    <col min="6913" max="6913" width="17.28515625" style="32" bestFit="1" customWidth="1"/>
    <col min="6914" max="7159" width="9.140625" style="32"/>
    <col min="7160" max="7160" width="16.140625" style="32" bestFit="1" customWidth="1"/>
    <col min="7161" max="7161" width="11.28515625" style="32" bestFit="1" customWidth="1"/>
    <col min="7162" max="7162" width="24.5703125" style="32" bestFit="1" customWidth="1"/>
    <col min="7163" max="7164" width="11.28515625" style="32" bestFit="1" customWidth="1"/>
    <col min="7165" max="7166" width="10.28515625" style="32" bestFit="1" customWidth="1"/>
    <col min="7167" max="7167" width="22.28515625" style="32" bestFit="1" customWidth="1"/>
    <col min="7168" max="7168" width="12.28515625" style="32" bestFit="1" customWidth="1"/>
    <col min="7169" max="7169" width="17.28515625" style="32" bestFit="1" customWidth="1"/>
    <col min="7170" max="7415" width="9.140625" style="32"/>
    <col min="7416" max="7416" width="16.140625" style="32" bestFit="1" customWidth="1"/>
    <col min="7417" max="7417" width="11.28515625" style="32" bestFit="1" customWidth="1"/>
    <col min="7418" max="7418" width="24.5703125" style="32" bestFit="1" customWidth="1"/>
    <col min="7419" max="7420" width="11.28515625" style="32" bestFit="1" customWidth="1"/>
    <col min="7421" max="7422" width="10.28515625" style="32" bestFit="1" customWidth="1"/>
    <col min="7423" max="7423" width="22.28515625" style="32" bestFit="1" customWidth="1"/>
    <col min="7424" max="7424" width="12.28515625" style="32" bestFit="1" customWidth="1"/>
    <col min="7425" max="7425" width="17.28515625" style="32" bestFit="1" customWidth="1"/>
    <col min="7426" max="7671" width="9.140625" style="32"/>
    <col min="7672" max="7672" width="16.140625" style="32" bestFit="1" customWidth="1"/>
    <col min="7673" max="7673" width="11.28515625" style="32" bestFit="1" customWidth="1"/>
    <col min="7674" max="7674" width="24.5703125" style="32" bestFit="1" customWidth="1"/>
    <col min="7675" max="7676" width="11.28515625" style="32" bestFit="1" customWidth="1"/>
    <col min="7677" max="7678" width="10.28515625" style="32" bestFit="1" customWidth="1"/>
    <col min="7679" max="7679" width="22.28515625" style="32" bestFit="1" customWidth="1"/>
    <col min="7680" max="7680" width="12.28515625" style="32" bestFit="1" customWidth="1"/>
    <col min="7681" max="7681" width="17.28515625" style="32" bestFit="1" customWidth="1"/>
    <col min="7682" max="7927" width="9.140625" style="32"/>
    <col min="7928" max="7928" width="16.140625" style="32" bestFit="1" customWidth="1"/>
    <col min="7929" max="7929" width="11.28515625" style="32" bestFit="1" customWidth="1"/>
    <col min="7930" max="7930" width="24.5703125" style="32" bestFit="1" customWidth="1"/>
    <col min="7931" max="7932" width="11.28515625" style="32" bestFit="1" customWidth="1"/>
    <col min="7933" max="7934" width="10.28515625" style="32" bestFit="1" customWidth="1"/>
    <col min="7935" max="7935" width="22.28515625" style="32" bestFit="1" customWidth="1"/>
    <col min="7936" max="7936" width="12.28515625" style="32" bestFit="1" customWidth="1"/>
    <col min="7937" max="7937" width="17.28515625" style="32" bestFit="1" customWidth="1"/>
    <col min="7938" max="8183" width="9.140625" style="32"/>
    <col min="8184" max="8184" width="16.140625" style="32" bestFit="1" customWidth="1"/>
    <col min="8185" max="8185" width="11.28515625" style="32" bestFit="1" customWidth="1"/>
    <col min="8186" max="8186" width="24.5703125" style="32" bestFit="1" customWidth="1"/>
    <col min="8187" max="8188" width="11.28515625" style="32" bestFit="1" customWidth="1"/>
    <col min="8189" max="8190" width="10.28515625" style="32" bestFit="1" customWidth="1"/>
    <col min="8191" max="8191" width="22.28515625" style="32" bestFit="1" customWidth="1"/>
    <col min="8192" max="8192" width="12.28515625" style="32" bestFit="1" customWidth="1"/>
    <col min="8193" max="8193" width="17.28515625" style="32" bestFit="1" customWidth="1"/>
    <col min="8194" max="8439" width="9.140625" style="32"/>
    <col min="8440" max="8440" width="16.140625" style="32" bestFit="1" customWidth="1"/>
    <col min="8441" max="8441" width="11.28515625" style="32" bestFit="1" customWidth="1"/>
    <col min="8442" max="8442" width="24.5703125" style="32" bestFit="1" customWidth="1"/>
    <col min="8443" max="8444" width="11.28515625" style="32" bestFit="1" customWidth="1"/>
    <col min="8445" max="8446" width="10.28515625" style="32" bestFit="1" customWidth="1"/>
    <col min="8447" max="8447" width="22.28515625" style="32" bestFit="1" customWidth="1"/>
    <col min="8448" max="8448" width="12.28515625" style="32" bestFit="1" customWidth="1"/>
    <col min="8449" max="8449" width="17.28515625" style="32" bestFit="1" customWidth="1"/>
    <col min="8450" max="8695" width="9.140625" style="32"/>
    <col min="8696" max="8696" width="16.140625" style="32" bestFit="1" customWidth="1"/>
    <col min="8697" max="8697" width="11.28515625" style="32" bestFit="1" customWidth="1"/>
    <col min="8698" max="8698" width="24.5703125" style="32" bestFit="1" customWidth="1"/>
    <col min="8699" max="8700" width="11.28515625" style="32" bestFit="1" customWidth="1"/>
    <col min="8701" max="8702" width="10.28515625" style="32" bestFit="1" customWidth="1"/>
    <col min="8703" max="8703" width="22.28515625" style="32" bestFit="1" customWidth="1"/>
    <col min="8704" max="8704" width="12.28515625" style="32" bestFit="1" customWidth="1"/>
    <col min="8705" max="8705" width="17.28515625" style="32" bestFit="1" customWidth="1"/>
    <col min="8706" max="8951" width="9.140625" style="32"/>
    <col min="8952" max="8952" width="16.140625" style="32" bestFit="1" customWidth="1"/>
    <col min="8953" max="8953" width="11.28515625" style="32" bestFit="1" customWidth="1"/>
    <col min="8954" max="8954" width="24.5703125" style="32" bestFit="1" customWidth="1"/>
    <col min="8955" max="8956" width="11.28515625" style="32" bestFit="1" customWidth="1"/>
    <col min="8957" max="8958" width="10.28515625" style="32" bestFit="1" customWidth="1"/>
    <col min="8959" max="8959" width="22.28515625" style="32" bestFit="1" customWidth="1"/>
    <col min="8960" max="8960" width="12.28515625" style="32" bestFit="1" customWidth="1"/>
    <col min="8961" max="8961" width="17.28515625" style="32" bestFit="1" customWidth="1"/>
    <col min="8962" max="9207" width="9.140625" style="32"/>
    <col min="9208" max="9208" width="16.140625" style="32" bestFit="1" customWidth="1"/>
    <col min="9209" max="9209" width="11.28515625" style="32" bestFit="1" customWidth="1"/>
    <col min="9210" max="9210" width="24.5703125" style="32" bestFit="1" customWidth="1"/>
    <col min="9211" max="9212" width="11.28515625" style="32" bestFit="1" customWidth="1"/>
    <col min="9213" max="9214" width="10.28515625" style="32" bestFit="1" customWidth="1"/>
    <col min="9215" max="9215" width="22.28515625" style="32" bestFit="1" customWidth="1"/>
    <col min="9216" max="9216" width="12.28515625" style="32" bestFit="1" customWidth="1"/>
    <col min="9217" max="9217" width="17.28515625" style="32" bestFit="1" customWidth="1"/>
    <col min="9218" max="9463" width="9.140625" style="32"/>
    <col min="9464" max="9464" width="16.140625" style="32" bestFit="1" customWidth="1"/>
    <col min="9465" max="9465" width="11.28515625" style="32" bestFit="1" customWidth="1"/>
    <col min="9466" max="9466" width="24.5703125" style="32" bestFit="1" customWidth="1"/>
    <col min="9467" max="9468" width="11.28515625" style="32" bestFit="1" customWidth="1"/>
    <col min="9469" max="9470" width="10.28515625" style="32" bestFit="1" customWidth="1"/>
    <col min="9471" max="9471" width="22.28515625" style="32" bestFit="1" customWidth="1"/>
    <col min="9472" max="9472" width="12.28515625" style="32" bestFit="1" customWidth="1"/>
    <col min="9473" max="9473" width="17.28515625" style="32" bestFit="1" customWidth="1"/>
    <col min="9474" max="9719" width="9.140625" style="32"/>
    <col min="9720" max="9720" width="16.140625" style="32" bestFit="1" customWidth="1"/>
    <col min="9721" max="9721" width="11.28515625" style="32" bestFit="1" customWidth="1"/>
    <col min="9722" max="9722" width="24.5703125" style="32" bestFit="1" customWidth="1"/>
    <col min="9723" max="9724" width="11.28515625" style="32" bestFit="1" customWidth="1"/>
    <col min="9725" max="9726" width="10.28515625" style="32" bestFit="1" customWidth="1"/>
    <col min="9727" max="9727" width="22.28515625" style="32" bestFit="1" customWidth="1"/>
    <col min="9728" max="9728" width="12.28515625" style="32" bestFit="1" customWidth="1"/>
    <col min="9729" max="9729" width="17.28515625" style="32" bestFit="1" customWidth="1"/>
    <col min="9730" max="9975" width="9.140625" style="32"/>
    <col min="9976" max="9976" width="16.140625" style="32" bestFit="1" customWidth="1"/>
    <col min="9977" max="9977" width="11.28515625" style="32" bestFit="1" customWidth="1"/>
    <col min="9978" max="9978" width="24.5703125" style="32" bestFit="1" customWidth="1"/>
    <col min="9979" max="9980" width="11.28515625" style="32" bestFit="1" customWidth="1"/>
    <col min="9981" max="9982" width="10.28515625" style="32" bestFit="1" customWidth="1"/>
    <col min="9983" max="9983" width="22.28515625" style="32" bestFit="1" customWidth="1"/>
    <col min="9984" max="9984" width="12.28515625" style="32" bestFit="1" customWidth="1"/>
    <col min="9985" max="9985" width="17.28515625" style="32" bestFit="1" customWidth="1"/>
    <col min="9986" max="10231" width="9.140625" style="32"/>
    <col min="10232" max="10232" width="16.140625" style="32" bestFit="1" customWidth="1"/>
    <col min="10233" max="10233" width="11.28515625" style="32" bestFit="1" customWidth="1"/>
    <col min="10234" max="10234" width="24.5703125" style="32" bestFit="1" customWidth="1"/>
    <col min="10235" max="10236" width="11.28515625" style="32" bestFit="1" customWidth="1"/>
    <col min="10237" max="10238" width="10.28515625" style="32" bestFit="1" customWidth="1"/>
    <col min="10239" max="10239" width="22.28515625" style="32" bestFit="1" customWidth="1"/>
    <col min="10240" max="10240" width="12.28515625" style="32" bestFit="1" customWidth="1"/>
    <col min="10241" max="10241" width="17.28515625" style="32" bestFit="1" customWidth="1"/>
    <col min="10242" max="10487" width="9.140625" style="32"/>
    <col min="10488" max="10488" width="16.140625" style="32" bestFit="1" customWidth="1"/>
    <col min="10489" max="10489" width="11.28515625" style="32" bestFit="1" customWidth="1"/>
    <col min="10490" max="10490" width="24.5703125" style="32" bestFit="1" customWidth="1"/>
    <col min="10491" max="10492" width="11.28515625" style="32" bestFit="1" customWidth="1"/>
    <col min="10493" max="10494" width="10.28515625" style="32" bestFit="1" customWidth="1"/>
    <col min="10495" max="10495" width="22.28515625" style="32" bestFit="1" customWidth="1"/>
    <col min="10496" max="10496" width="12.28515625" style="32" bestFit="1" customWidth="1"/>
    <col min="10497" max="10497" width="17.28515625" style="32" bestFit="1" customWidth="1"/>
    <col min="10498" max="10743" width="9.140625" style="32"/>
    <col min="10744" max="10744" width="16.140625" style="32" bestFit="1" customWidth="1"/>
    <col min="10745" max="10745" width="11.28515625" style="32" bestFit="1" customWidth="1"/>
    <col min="10746" max="10746" width="24.5703125" style="32" bestFit="1" customWidth="1"/>
    <col min="10747" max="10748" width="11.28515625" style="32" bestFit="1" customWidth="1"/>
    <col min="10749" max="10750" width="10.28515625" style="32" bestFit="1" customWidth="1"/>
    <col min="10751" max="10751" width="22.28515625" style="32" bestFit="1" customWidth="1"/>
    <col min="10752" max="10752" width="12.28515625" style="32" bestFit="1" customWidth="1"/>
    <col min="10753" max="10753" width="17.28515625" style="32" bestFit="1" customWidth="1"/>
    <col min="10754" max="10999" width="9.140625" style="32"/>
    <col min="11000" max="11000" width="16.140625" style="32" bestFit="1" customWidth="1"/>
    <col min="11001" max="11001" width="11.28515625" style="32" bestFit="1" customWidth="1"/>
    <col min="11002" max="11002" width="24.5703125" style="32" bestFit="1" customWidth="1"/>
    <col min="11003" max="11004" width="11.28515625" style="32" bestFit="1" customWidth="1"/>
    <col min="11005" max="11006" width="10.28515625" style="32" bestFit="1" customWidth="1"/>
    <col min="11007" max="11007" width="22.28515625" style="32" bestFit="1" customWidth="1"/>
    <col min="11008" max="11008" width="12.28515625" style="32" bestFit="1" customWidth="1"/>
    <col min="11009" max="11009" width="17.28515625" style="32" bestFit="1" customWidth="1"/>
    <col min="11010" max="11255" width="9.140625" style="32"/>
    <col min="11256" max="11256" width="16.140625" style="32" bestFit="1" customWidth="1"/>
    <col min="11257" max="11257" width="11.28515625" style="32" bestFit="1" customWidth="1"/>
    <col min="11258" max="11258" width="24.5703125" style="32" bestFit="1" customWidth="1"/>
    <col min="11259" max="11260" width="11.28515625" style="32" bestFit="1" customWidth="1"/>
    <col min="11261" max="11262" width="10.28515625" style="32" bestFit="1" customWidth="1"/>
    <col min="11263" max="11263" width="22.28515625" style="32" bestFit="1" customWidth="1"/>
    <col min="11264" max="11264" width="12.28515625" style="32" bestFit="1" customWidth="1"/>
    <col min="11265" max="11265" width="17.28515625" style="32" bestFit="1" customWidth="1"/>
    <col min="11266" max="11511" width="9.140625" style="32"/>
    <col min="11512" max="11512" width="16.140625" style="32" bestFit="1" customWidth="1"/>
    <col min="11513" max="11513" width="11.28515625" style="32" bestFit="1" customWidth="1"/>
    <col min="11514" max="11514" width="24.5703125" style="32" bestFit="1" customWidth="1"/>
    <col min="11515" max="11516" width="11.28515625" style="32" bestFit="1" customWidth="1"/>
    <col min="11517" max="11518" width="10.28515625" style="32" bestFit="1" customWidth="1"/>
    <col min="11519" max="11519" width="22.28515625" style="32" bestFit="1" customWidth="1"/>
    <col min="11520" max="11520" width="12.28515625" style="32" bestFit="1" customWidth="1"/>
    <col min="11521" max="11521" width="17.28515625" style="32" bestFit="1" customWidth="1"/>
    <col min="11522" max="11767" width="9.140625" style="32"/>
    <col min="11768" max="11768" width="16.140625" style="32" bestFit="1" customWidth="1"/>
    <col min="11769" max="11769" width="11.28515625" style="32" bestFit="1" customWidth="1"/>
    <col min="11770" max="11770" width="24.5703125" style="32" bestFit="1" customWidth="1"/>
    <col min="11771" max="11772" width="11.28515625" style="32" bestFit="1" customWidth="1"/>
    <col min="11773" max="11774" width="10.28515625" style="32" bestFit="1" customWidth="1"/>
    <col min="11775" max="11775" width="22.28515625" style="32" bestFit="1" customWidth="1"/>
    <col min="11776" max="11776" width="12.28515625" style="32" bestFit="1" customWidth="1"/>
    <col min="11777" max="11777" width="17.28515625" style="32" bestFit="1" customWidth="1"/>
    <col min="11778" max="12023" width="9.140625" style="32"/>
    <col min="12024" max="12024" width="16.140625" style="32" bestFit="1" customWidth="1"/>
    <col min="12025" max="12025" width="11.28515625" style="32" bestFit="1" customWidth="1"/>
    <col min="12026" max="12026" width="24.5703125" style="32" bestFit="1" customWidth="1"/>
    <col min="12027" max="12028" width="11.28515625" style="32" bestFit="1" customWidth="1"/>
    <col min="12029" max="12030" width="10.28515625" style="32" bestFit="1" customWidth="1"/>
    <col min="12031" max="12031" width="22.28515625" style="32" bestFit="1" customWidth="1"/>
    <col min="12032" max="12032" width="12.28515625" style="32" bestFit="1" customWidth="1"/>
    <col min="12033" max="12033" width="17.28515625" style="32" bestFit="1" customWidth="1"/>
    <col min="12034" max="12279" width="9.140625" style="32"/>
    <col min="12280" max="12280" width="16.140625" style="32" bestFit="1" customWidth="1"/>
    <col min="12281" max="12281" width="11.28515625" style="32" bestFit="1" customWidth="1"/>
    <col min="12282" max="12282" width="24.5703125" style="32" bestFit="1" customWidth="1"/>
    <col min="12283" max="12284" width="11.28515625" style="32" bestFit="1" customWidth="1"/>
    <col min="12285" max="12286" width="10.28515625" style="32" bestFit="1" customWidth="1"/>
    <col min="12287" max="12287" width="22.28515625" style="32" bestFit="1" customWidth="1"/>
    <col min="12288" max="12288" width="12.28515625" style="32" bestFit="1" customWidth="1"/>
    <col min="12289" max="12289" width="17.28515625" style="32" bestFit="1" customWidth="1"/>
    <col min="12290" max="12535" width="9.140625" style="32"/>
    <col min="12536" max="12536" width="16.140625" style="32" bestFit="1" customWidth="1"/>
    <col min="12537" max="12537" width="11.28515625" style="32" bestFit="1" customWidth="1"/>
    <col min="12538" max="12538" width="24.5703125" style="32" bestFit="1" customWidth="1"/>
    <col min="12539" max="12540" width="11.28515625" style="32" bestFit="1" customWidth="1"/>
    <col min="12541" max="12542" width="10.28515625" style="32" bestFit="1" customWidth="1"/>
    <col min="12543" max="12543" width="22.28515625" style="32" bestFit="1" customWidth="1"/>
    <col min="12544" max="12544" width="12.28515625" style="32" bestFit="1" customWidth="1"/>
    <col min="12545" max="12545" width="17.28515625" style="32" bestFit="1" customWidth="1"/>
    <col min="12546" max="12791" width="9.140625" style="32"/>
    <col min="12792" max="12792" width="16.140625" style="32" bestFit="1" customWidth="1"/>
    <col min="12793" max="12793" width="11.28515625" style="32" bestFit="1" customWidth="1"/>
    <col min="12794" max="12794" width="24.5703125" style="32" bestFit="1" customWidth="1"/>
    <col min="12795" max="12796" width="11.28515625" style="32" bestFit="1" customWidth="1"/>
    <col min="12797" max="12798" width="10.28515625" style="32" bestFit="1" customWidth="1"/>
    <col min="12799" max="12799" width="22.28515625" style="32" bestFit="1" customWidth="1"/>
    <col min="12800" max="12800" width="12.28515625" style="32" bestFit="1" customWidth="1"/>
    <col min="12801" max="12801" width="17.28515625" style="32" bestFit="1" customWidth="1"/>
    <col min="12802" max="13047" width="9.140625" style="32"/>
    <col min="13048" max="13048" width="16.140625" style="32" bestFit="1" customWidth="1"/>
    <col min="13049" max="13049" width="11.28515625" style="32" bestFit="1" customWidth="1"/>
    <col min="13050" max="13050" width="24.5703125" style="32" bestFit="1" customWidth="1"/>
    <col min="13051" max="13052" width="11.28515625" style="32" bestFit="1" customWidth="1"/>
    <col min="13053" max="13054" width="10.28515625" style="32" bestFit="1" customWidth="1"/>
    <col min="13055" max="13055" width="22.28515625" style="32" bestFit="1" customWidth="1"/>
    <col min="13056" max="13056" width="12.28515625" style="32" bestFit="1" customWidth="1"/>
    <col min="13057" max="13057" width="17.28515625" style="32" bestFit="1" customWidth="1"/>
    <col min="13058" max="13303" width="9.140625" style="32"/>
    <col min="13304" max="13304" width="16.140625" style="32" bestFit="1" customWidth="1"/>
    <col min="13305" max="13305" width="11.28515625" style="32" bestFit="1" customWidth="1"/>
    <col min="13306" max="13306" width="24.5703125" style="32" bestFit="1" customWidth="1"/>
    <col min="13307" max="13308" width="11.28515625" style="32" bestFit="1" customWidth="1"/>
    <col min="13309" max="13310" width="10.28515625" style="32" bestFit="1" customWidth="1"/>
    <col min="13311" max="13311" width="22.28515625" style="32" bestFit="1" customWidth="1"/>
    <col min="13312" max="13312" width="12.28515625" style="32" bestFit="1" customWidth="1"/>
    <col min="13313" max="13313" width="17.28515625" style="32" bestFit="1" customWidth="1"/>
    <col min="13314" max="13559" width="9.140625" style="32"/>
    <col min="13560" max="13560" width="16.140625" style="32" bestFit="1" customWidth="1"/>
    <col min="13561" max="13561" width="11.28515625" style="32" bestFit="1" customWidth="1"/>
    <col min="13562" max="13562" width="24.5703125" style="32" bestFit="1" customWidth="1"/>
    <col min="13563" max="13564" width="11.28515625" style="32" bestFit="1" customWidth="1"/>
    <col min="13565" max="13566" width="10.28515625" style="32" bestFit="1" customWidth="1"/>
    <col min="13567" max="13567" width="22.28515625" style="32" bestFit="1" customWidth="1"/>
    <col min="13568" max="13568" width="12.28515625" style="32" bestFit="1" customWidth="1"/>
    <col min="13569" max="13569" width="17.28515625" style="32" bestFit="1" customWidth="1"/>
    <col min="13570" max="13815" width="9.140625" style="32"/>
    <col min="13816" max="13816" width="16.140625" style="32" bestFit="1" customWidth="1"/>
    <col min="13817" max="13817" width="11.28515625" style="32" bestFit="1" customWidth="1"/>
    <col min="13818" max="13818" width="24.5703125" style="32" bestFit="1" customWidth="1"/>
    <col min="13819" max="13820" width="11.28515625" style="32" bestFit="1" customWidth="1"/>
    <col min="13821" max="13822" width="10.28515625" style="32" bestFit="1" customWidth="1"/>
    <col min="13823" max="13823" width="22.28515625" style="32" bestFit="1" customWidth="1"/>
    <col min="13824" max="13824" width="12.28515625" style="32" bestFit="1" customWidth="1"/>
    <col min="13825" max="13825" width="17.28515625" style="32" bestFit="1" customWidth="1"/>
    <col min="13826" max="14071" width="9.140625" style="32"/>
    <col min="14072" max="14072" width="16.140625" style="32" bestFit="1" customWidth="1"/>
    <col min="14073" max="14073" width="11.28515625" style="32" bestFit="1" customWidth="1"/>
    <col min="14074" max="14074" width="24.5703125" style="32" bestFit="1" customWidth="1"/>
    <col min="14075" max="14076" width="11.28515625" style="32" bestFit="1" customWidth="1"/>
    <col min="14077" max="14078" width="10.28515625" style="32" bestFit="1" customWidth="1"/>
    <col min="14079" max="14079" width="22.28515625" style="32" bestFit="1" customWidth="1"/>
    <col min="14080" max="14080" width="12.28515625" style="32" bestFit="1" customWidth="1"/>
    <col min="14081" max="14081" width="17.28515625" style="32" bestFit="1" customWidth="1"/>
    <col min="14082" max="14327" width="9.140625" style="32"/>
    <col min="14328" max="14328" width="16.140625" style="32" bestFit="1" customWidth="1"/>
    <col min="14329" max="14329" width="11.28515625" style="32" bestFit="1" customWidth="1"/>
    <col min="14330" max="14330" width="24.5703125" style="32" bestFit="1" customWidth="1"/>
    <col min="14331" max="14332" width="11.28515625" style="32" bestFit="1" customWidth="1"/>
    <col min="14333" max="14334" width="10.28515625" style="32" bestFit="1" customWidth="1"/>
    <col min="14335" max="14335" width="22.28515625" style="32" bestFit="1" customWidth="1"/>
    <col min="14336" max="14336" width="12.28515625" style="32" bestFit="1" customWidth="1"/>
    <col min="14337" max="14337" width="17.28515625" style="32" bestFit="1" customWidth="1"/>
    <col min="14338" max="14583" width="9.140625" style="32"/>
    <col min="14584" max="14584" width="16.140625" style="32" bestFit="1" customWidth="1"/>
    <col min="14585" max="14585" width="11.28515625" style="32" bestFit="1" customWidth="1"/>
    <col min="14586" max="14586" width="24.5703125" style="32" bestFit="1" customWidth="1"/>
    <col min="14587" max="14588" width="11.28515625" style="32" bestFit="1" customWidth="1"/>
    <col min="14589" max="14590" width="10.28515625" style="32" bestFit="1" customWidth="1"/>
    <col min="14591" max="14591" width="22.28515625" style="32" bestFit="1" customWidth="1"/>
    <col min="14592" max="14592" width="12.28515625" style="32" bestFit="1" customWidth="1"/>
    <col min="14593" max="14593" width="17.28515625" style="32" bestFit="1" customWidth="1"/>
    <col min="14594" max="14839" width="9.140625" style="32"/>
    <col min="14840" max="14840" width="16.140625" style="32" bestFit="1" customWidth="1"/>
    <col min="14841" max="14841" width="11.28515625" style="32" bestFit="1" customWidth="1"/>
    <col min="14842" max="14842" width="24.5703125" style="32" bestFit="1" customWidth="1"/>
    <col min="14843" max="14844" width="11.28515625" style="32" bestFit="1" customWidth="1"/>
    <col min="14845" max="14846" width="10.28515625" style="32" bestFit="1" customWidth="1"/>
    <col min="14847" max="14847" width="22.28515625" style="32" bestFit="1" customWidth="1"/>
    <col min="14848" max="14848" width="12.28515625" style="32" bestFit="1" customWidth="1"/>
    <col min="14849" max="14849" width="17.28515625" style="32" bestFit="1" customWidth="1"/>
    <col min="14850" max="15095" width="9.140625" style="32"/>
    <col min="15096" max="15096" width="16.140625" style="32" bestFit="1" customWidth="1"/>
    <col min="15097" max="15097" width="11.28515625" style="32" bestFit="1" customWidth="1"/>
    <col min="15098" max="15098" width="24.5703125" style="32" bestFit="1" customWidth="1"/>
    <col min="15099" max="15100" width="11.28515625" style="32" bestFit="1" customWidth="1"/>
    <col min="15101" max="15102" width="10.28515625" style="32" bestFit="1" customWidth="1"/>
    <col min="15103" max="15103" width="22.28515625" style="32" bestFit="1" customWidth="1"/>
    <col min="15104" max="15104" width="12.28515625" style="32" bestFit="1" customWidth="1"/>
    <col min="15105" max="15105" width="17.28515625" style="32" bestFit="1" customWidth="1"/>
    <col min="15106" max="15351" width="9.140625" style="32"/>
    <col min="15352" max="15352" width="16.140625" style="32" bestFit="1" customWidth="1"/>
    <col min="15353" max="15353" width="11.28515625" style="32" bestFit="1" customWidth="1"/>
    <col min="15354" max="15354" width="24.5703125" style="32" bestFit="1" customWidth="1"/>
    <col min="15355" max="15356" width="11.28515625" style="32" bestFit="1" customWidth="1"/>
    <col min="15357" max="15358" width="10.28515625" style="32" bestFit="1" customWidth="1"/>
    <col min="15359" max="15359" width="22.28515625" style="32" bestFit="1" customWidth="1"/>
    <col min="15360" max="15360" width="12.28515625" style="32" bestFit="1" customWidth="1"/>
    <col min="15361" max="15361" width="17.28515625" style="32" bestFit="1" customWidth="1"/>
    <col min="15362" max="15607" width="9.140625" style="32"/>
    <col min="15608" max="15608" width="16.140625" style="32" bestFit="1" customWidth="1"/>
    <col min="15609" max="15609" width="11.28515625" style="32" bestFit="1" customWidth="1"/>
    <col min="15610" max="15610" width="24.5703125" style="32" bestFit="1" customWidth="1"/>
    <col min="15611" max="15612" width="11.28515625" style="32" bestFit="1" customWidth="1"/>
    <col min="15613" max="15614" width="10.28515625" style="32" bestFit="1" customWidth="1"/>
    <col min="15615" max="15615" width="22.28515625" style="32" bestFit="1" customWidth="1"/>
    <col min="15616" max="15616" width="12.28515625" style="32" bestFit="1" customWidth="1"/>
    <col min="15617" max="15617" width="17.28515625" style="32" bestFit="1" customWidth="1"/>
    <col min="15618" max="15863" width="9.140625" style="32"/>
    <col min="15864" max="15864" width="16.140625" style="32" bestFit="1" customWidth="1"/>
    <col min="15865" max="15865" width="11.28515625" style="32" bestFit="1" customWidth="1"/>
    <col min="15866" max="15866" width="24.5703125" style="32" bestFit="1" customWidth="1"/>
    <col min="15867" max="15868" width="11.28515625" style="32" bestFit="1" customWidth="1"/>
    <col min="15869" max="15870" width="10.28515625" style="32" bestFit="1" customWidth="1"/>
    <col min="15871" max="15871" width="22.28515625" style="32" bestFit="1" customWidth="1"/>
    <col min="15872" max="15872" width="12.28515625" style="32" bestFit="1" customWidth="1"/>
    <col min="15873" max="15873" width="17.28515625" style="32" bestFit="1" customWidth="1"/>
    <col min="15874" max="16119" width="9.140625" style="32"/>
    <col min="16120" max="16120" width="16.140625" style="32" bestFit="1" customWidth="1"/>
    <col min="16121" max="16121" width="11.28515625" style="32" bestFit="1" customWidth="1"/>
    <col min="16122" max="16122" width="24.5703125" style="32" bestFit="1" customWidth="1"/>
    <col min="16123" max="16124" width="11.28515625" style="32" bestFit="1" customWidth="1"/>
    <col min="16125" max="16126" width="10.28515625" style="32" bestFit="1" customWidth="1"/>
    <col min="16127" max="16127" width="22.28515625" style="32" bestFit="1" customWidth="1"/>
    <col min="16128" max="16128" width="12.28515625" style="32" bestFit="1" customWidth="1"/>
    <col min="16129" max="16129" width="17.28515625" style="32" bestFit="1" customWidth="1"/>
    <col min="16130" max="16384" width="9.140625" style="32"/>
  </cols>
  <sheetData>
    <row r="1" spans="1:14">
      <c r="B1" s="30" t="s">
        <v>97</v>
      </c>
      <c r="C1" s="31" t="s">
        <v>98</v>
      </c>
      <c r="D1" s="30" t="s">
        <v>99</v>
      </c>
      <c r="E1" s="50" t="s">
        <v>100</v>
      </c>
      <c r="G1" s="30" t="s">
        <v>101</v>
      </c>
      <c r="K1" s="30" t="s">
        <v>102</v>
      </c>
    </row>
    <row r="2" spans="1:14" s="30" customFormat="1">
      <c r="A2" s="31" t="s">
        <v>103</v>
      </c>
      <c r="E2" s="51"/>
      <c r="F2" s="31" t="s">
        <v>103</v>
      </c>
      <c r="J2" s="31" t="s">
        <v>103</v>
      </c>
      <c r="M2" s="31"/>
    </row>
    <row r="3" spans="1:14" ht="15">
      <c r="A3" s="29" t="s">
        <v>104</v>
      </c>
      <c r="B3" s="33">
        <v>20.02</v>
      </c>
      <c r="C3" s="32" t="s">
        <v>105</v>
      </c>
      <c r="E3" s="50" t="s">
        <v>106</v>
      </c>
      <c r="F3" s="29" t="s">
        <v>104</v>
      </c>
      <c r="G3" s="33">
        <v>21.14</v>
      </c>
      <c r="H3" s="34">
        <f>G3/B3-1</f>
        <v>5.5944055944056048E-2</v>
      </c>
      <c r="I3" s="32" t="s">
        <v>106</v>
      </c>
      <c r="J3" s="29" t="s">
        <v>104</v>
      </c>
      <c r="K3" s="35">
        <f>G3*(1+H3)</f>
        <v>22.322657342657344</v>
      </c>
      <c r="L3" s="32" t="s">
        <v>107</v>
      </c>
      <c r="M3" s="36" t="s">
        <v>108</v>
      </c>
      <c r="N3" s="32" t="s">
        <v>109</v>
      </c>
    </row>
    <row r="4" spans="1:14" ht="15">
      <c r="A4" s="29" t="s">
        <v>110</v>
      </c>
      <c r="B4" s="32">
        <v>1456</v>
      </c>
      <c r="C4" s="32"/>
      <c r="E4" s="51"/>
      <c r="F4" s="29" t="s">
        <v>110</v>
      </c>
      <c r="G4" s="37">
        <v>1456</v>
      </c>
      <c r="J4" s="29" t="s">
        <v>110</v>
      </c>
      <c r="K4" s="37">
        <v>1456</v>
      </c>
    </row>
    <row r="5" spans="1:14" ht="15">
      <c r="A5" s="29" t="s">
        <v>111</v>
      </c>
      <c r="B5" s="33">
        <v>29149.119999999999</v>
      </c>
      <c r="C5" s="38" t="s">
        <v>112</v>
      </c>
      <c r="D5" s="33">
        <f>B5*1.0315</f>
        <v>30067.317280000003</v>
      </c>
      <c r="E5" s="52"/>
      <c r="F5" s="29" t="s">
        <v>111</v>
      </c>
      <c r="G5" s="33">
        <f>G4*G3</f>
        <v>30779.84</v>
      </c>
      <c r="H5" s="32" t="s">
        <v>113</v>
      </c>
      <c r="I5" s="32" t="s">
        <v>6</v>
      </c>
      <c r="J5" s="29" t="s">
        <v>111</v>
      </c>
      <c r="K5" s="33">
        <f>K4*K3</f>
        <v>32501.789090909093</v>
      </c>
    </row>
    <row r="6" spans="1:14" ht="25.5">
      <c r="A6" s="29" t="s">
        <v>114</v>
      </c>
      <c r="B6" s="33">
        <f>B5*0.02</f>
        <v>582.98239999999998</v>
      </c>
      <c r="C6" s="39"/>
      <c r="D6" s="33">
        <f>D5*0.2</f>
        <v>6013.4634560000013</v>
      </c>
      <c r="E6" s="53" t="s">
        <v>115</v>
      </c>
      <c r="F6" s="29" t="s">
        <v>116</v>
      </c>
      <c r="G6" s="33">
        <f>G5*0.1</f>
        <v>3077.9840000000004</v>
      </c>
      <c r="H6" s="33">
        <f>G5*0.03</f>
        <v>923.39519999999993</v>
      </c>
      <c r="I6" s="33">
        <f>G6-H6</f>
        <v>2154.5888000000004</v>
      </c>
      <c r="J6" s="29" t="s">
        <v>116</v>
      </c>
      <c r="K6" s="33">
        <f>K5*0.1</f>
        <v>3250.1789090909097</v>
      </c>
      <c r="M6" s="40">
        <v>0.1</v>
      </c>
      <c r="N6" s="32" t="s">
        <v>117</v>
      </c>
    </row>
    <row r="7" spans="1:14" ht="15">
      <c r="A7" s="29" t="s">
        <v>118</v>
      </c>
      <c r="B7" s="33">
        <f>B5*0.138</f>
        <v>4022.5785600000004</v>
      </c>
      <c r="C7" s="40">
        <v>0.15</v>
      </c>
      <c r="D7" s="33">
        <f>D5*0.15</f>
        <v>4510.0975920000001</v>
      </c>
      <c r="E7" s="54">
        <f>D7-B7</f>
        <v>487.5190319999997</v>
      </c>
      <c r="F7" s="29" t="s">
        <v>118</v>
      </c>
      <c r="G7" s="33">
        <f>G5*0.15</f>
        <v>4616.9759999999997</v>
      </c>
      <c r="J7" s="29" t="s">
        <v>118</v>
      </c>
      <c r="K7" s="33">
        <f>K5*0.15</f>
        <v>4875.2683636363636</v>
      </c>
    </row>
    <row r="8" spans="1:14" s="30" customFormat="1">
      <c r="A8" s="31"/>
      <c r="B8" s="41">
        <f>SUM(B5:B7)</f>
        <v>33754.680959999998</v>
      </c>
      <c r="C8" s="31"/>
      <c r="D8" s="41">
        <f>SUM(D5:D7)</f>
        <v>40590.878327999999</v>
      </c>
      <c r="E8" s="55">
        <f>D8-B8</f>
        <v>6836.197368000001</v>
      </c>
      <c r="G8" s="41">
        <f>SUM(G5:G7)</f>
        <v>38474.800000000003</v>
      </c>
      <c r="K8" s="41">
        <f>SUM(K5:K7)</f>
        <v>40627.236363636366</v>
      </c>
      <c r="M8" s="42"/>
    </row>
    <row r="9" spans="1:14" s="30" customFormat="1">
      <c r="A9" s="31"/>
      <c r="B9" s="41"/>
      <c r="C9" s="31"/>
      <c r="D9" s="41"/>
      <c r="E9" s="56"/>
      <c r="M9" s="31"/>
    </row>
    <row r="10" spans="1:14" ht="15">
      <c r="A10" s="31" t="s">
        <v>119</v>
      </c>
      <c r="E10" s="57"/>
      <c r="F10" s="31" t="s">
        <v>119</v>
      </c>
      <c r="J10" s="31" t="s">
        <v>119</v>
      </c>
    </row>
    <row r="11" spans="1:14" ht="15">
      <c r="A11" s="29" t="s">
        <v>120</v>
      </c>
      <c r="B11" s="33">
        <v>12.5</v>
      </c>
      <c r="C11" s="29" t="s">
        <v>121</v>
      </c>
      <c r="D11" s="33">
        <v>13.5</v>
      </c>
      <c r="E11" s="58">
        <f>D11/B11-1</f>
        <v>8.0000000000000071E-2</v>
      </c>
      <c r="F11" s="29" t="s">
        <v>120</v>
      </c>
      <c r="G11" s="33">
        <v>13.5</v>
      </c>
      <c r="J11" s="29" t="s">
        <v>120</v>
      </c>
      <c r="K11" s="35">
        <f>G11*(1+H3)</f>
        <v>14.255244755244757</v>
      </c>
    </row>
    <row r="12" spans="1:14" ht="15">
      <c r="A12" s="29" t="s">
        <v>122</v>
      </c>
      <c r="B12" s="32">
        <v>600</v>
      </c>
      <c r="C12" s="36" t="s">
        <v>123</v>
      </c>
      <c r="D12" s="29">
        <v>600</v>
      </c>
      <c r="E12" s="57"/>
      <c r="F12" s="29" t="s">
        <v>122</v>
      </c>
      <c r="G12" s="32">
        <v>600</v>
      </c>
      <c r="J12" s="29" t="s">
        <v>122</v>
      </c>
      <c r="K12" s="32">
        <v>600</v>
      </c>
    </row>
    <row r="13" spans="1:14" ht="15">
      <c r="A13" s="29" t="s">
        <v>111</v>
      </c>
      <c r="B13" s="33">
        <f>B11*B12</f>
        <v>7500</v>
      </c>
      <c r="D13" s="33">
        <f>D11*D12</f>
        <v>8100</v>
      </c>
      <c r="E13" s="54">
        <f>D13-B13</f>
        <v>600</v>
      </c>
      <c r="F13" s="29" t="s">
        <v>111</v>
      </c>
      <c r="G13" s="33">
        <f>G12*G11</f>
        <v>8100</v>
      </c>
      <c r="J13" s="29" t="s">
        <v>111</v>
      </c>
      <c r="K13" s="33">
        <f>K12*K11</f>
        <v>8553.1468531468545</v>
      </c>
    </row>
    <row r="14" spans="1:14" ht="15">
      <c r="A14" s="29" t="s">
        <v>114</v>
      </c>
      <c r="C14" s="29" t="s">
        <v>124</v>
      </c>
      <c r="E14" s="57"/>
      <c r="F14" s="29" t="s">
        <v>116</v>
      </c>
      <c r="G14" s="33">
        <f>G13*0.1</f>
        <v>810</v>
      </c>
      <c r="J14" s="29" t="s">
        <v>116</v>
      </c>
      <c r="K14" s="33">
        <f>K13*0.1</f>
        <v>855.31468531468545</v>
      </c>
      <c r="M14" s="40">
        <v>0.1</v>
      </c>
      <c r="N14" s="32" t="s">
        <v>117</v>
      </c>
    </row>
    <row r="15" spans="1:14" s="30" customFormat="1" ht="15">
      <c r="A15" s="29" t="s">
        <v>125</v>
      </c>
      <c r="B15" s="33">
        <f>B13*0.138</f>
        <v>1035</v>
      </c>
      <c r="C15" s="29"/>
      <c r="D15" s="35">
        <f>D13*0.15</f>
        <v>1215</v>
      </c>
      <c r="E15" s="54">
        <f>D15-B15</f>
        <v>180</v>
      </c>
      <c r="F15" s="29" t="s">
        <v>118</v>
      </c>
      <c r="G15" s="43">
        <f>G13*0.15</f>
        <v>1215</v>
      </c>
      <c r="J15" s="29" t="s">
        <v>118</v>
      </c>
      <c r="K15" s="43">
        <f>K13*0.15</f>
        <v>1282.9720279720282</v>
      </c>
      <c r="M15" s="31"/>
    </row>
    <row r="16" spans="1:14" s="30" customFormat="1">
      <c r="A16" s="31" t="s">
        <v>126</v>
      </c>
      <c r="B16" s="43">
        <f>B13+B15</f>
        <v>8535</v>
      </c>
      <c r="C16" s="31"/>
      <c r="D16" s="41">
        <f>D13+D15</f>
        <v>9315</v>
      </c>
      <c r="E16" s="55">
        <f>D16-B16</f>
        <v>780</v>
      </c>
      <c r="F16" s="31" t="s">
        <v>127</v>
      </c>
      <c r="G16" s="43">
        <f>SUM(G13:G15)</f>
        <v>10125</v>
      </c>
      <c r="J16" s="31" t="s">
        <v>127</v>
      </c>
      <c r="K16" s="43">
        <f>SUM(K13:K15)</f>
        <v>10691.433566433567</v>
      </c>
      <c r="M16" s="31"/>
    </row>
    <row r="17" spans="1:14">
      <c r="A17" s="31"/>
      <c r="B17" s="43"/>
      <c r="C17" s="31"/>
      <c r="D17" s="41"/>
      <c r="E17" s="56"/>
    </row>
    <row r="18" spans="1:14" ht="15">
      <c r="A18" s="31" t="s">
        <v>128</v>
      </c>
      <c r="C18" s="29" t="s">
        <v>124</v>
      </c>
      <c r="E18" s="57"/>
      <c r="F18" s="31" t="s">
        <v>128</v>
      </c>
      <c r="J18" s="31" t="s">
        <v>128</v>
      </c>
    </row>
    <row r="19" spans="1:14" ht="15">
      <c r="A19" s="29" t="s">
        <v>104</v>
      </c>
      <c r="B19" s="35">
        <f>B21/B20</f>
        <v>13.598290598290598</v>
      </c>
      <c r="C19" s="29" t="s">
        <v>129</v>
      </c>
      <c r="E19" s="57"/>
      <c r="F19" s="29" t="s">
        <v>104</v>
      </c>
      <c r="G19" s="44">
        <v>16.079999999999998</v>
      </c>
      <c r="H19" s="34">
        <f>G19/B19-1</f>
        <v>0.18250157133878053</v>
      </c>
      <c r="J19" s="29" t="s">
        <v>104</v>
      </c>
      <c r="K19" s="44">
        <f>G19*(1+M3)</f>
        <v>16.98048</v>
      </c>
      <c r="M19" s="29" t="s">
        <v>108</v>
      </c>
      <c r="N19" s="32" t="s">
        <v>130</v>
      </c>
    </row>
    <row r="20" spans="1:14" ht="15">
      <c r="A20" s="29" t="s">
        <v>110</v>
      </c>
      <c r="B20" s="32">
        <f>9*52</f>
        <v>468</v>
      </c>
      <c r="E20" s="57"/>
      <c r="F20" s="29" t="s">
        <v>110</v>
      </c>
      <c r="G20" s="32">
        <v>468</v>
      </c>
      <c r="J20" s="29" t="s">
        <v>110</v>
      </c>
      <c r="K20" s="32">
        <v>468</v>
      </c>
    </row>
    <row r="21" spans="1:14" ht="15">
      <c r="A21" s="29" t="s">
        <v>111</v>
      </c>
      <c r="B21" s="33">
        <v>6364</v>
      </c>
      <c r="C21" s="38" t="s">
        <v>112</v>
      </c>
      <c r="D21" s="43">
        <f>B21*1.0315</f>
        <v>6564.4660000000003</v>
      </c>
      <c r="E21" s="54">
        <f>D21-B21</f>
        <v>200.46600000000035</v>
      </c>
      <c r="F21" s="29" t="s">
        <v>111</v>
      </c>
      <c r="G21" s="44">
        <f>G19*G20</f>
        <v>7525.44</v>
      </c>
      <c r="J21" s="29" t="s">
        <v>111</v>
      </c>
      <c r="K21" s="44">
        <f>K19*K20</f>
        <v>7946.8646399999998</v>
      </c>
    </row>
    <row r="22" spans="1:14" s="30" customFormat="1" ht="15">
      <c r="A22" s="29" t="s">
        <v>125</v>
      </c>
      <c r="B22" s="33">
        <f>B21*0.138</f>
        <v>878.23200000000008</v>
      </c>
      <c r="C22" s="40">
        <v>0.15</v>
      </c>
      <c r="D22" s="35">
        <f>D21*0.15</f>
        <v>984.66989999999998</v>
      </c>
      <c r="E22" s="54">
        <f>D22-B22</f>
        <v>106.4378999999999</v>
      </c>
      <c r="F22" s="29" t="s">
        <v>125</v>
      </c>
      <c r="G22" s="44">
        <f>G21*0.15</f>
        <v>1128.8159999999998</v>
      </c>
      <c r="J22" s="29" t="s">
        <v>125</v>
      </c>
      <c r="K22" s="44">
        <f>K21*0.15</f>
        <v>1192.0296959999998</v>
      </c>
      <c r="M22" s="31"/>
    </row>
    <row r="23" spans="1:14" s="30" customFormat="1">
      <c r="A23" s="31" t="s">
        <v>126</v>
      </c>
      <c r="B23" s="43">
        <f>6364</f>
        <v>6364</v>
      </c>
      <c r="C23" s="31"/>
      <c r="D23" s="41">
        <f>D22+D21</f>
        <v>7549.1359000000002</v>
      </c>
      <c r="E23" s="55">
        <f>D23-B23</f>
        <v>1185.1359000000002</v>
      </c>
      <c r="F23" s="31" t="s">
        <v>126</v>
      </c>
      <c r="G23" s="45">
        <f>SUM(G21:G22)</f>
        <v>8654.2559999999994</v>
      </c>
      <c r="J23" s="31" t="s">
        <v>126</v>
      </c>
      <c r="K23" s="45">
        <f>SUM(K21:K22)</f>
        <v>9138.8943359999994</v>
      </c>
      <c r="M23" s="31"/>
    </row>
    <row r="24" spans="1:14" s="30" customFormat="1">
      <c r="A24" s="31" t="s">
        <v>131</v>
      </c>
      <c r="B24" s="43">
        <v>-3182</v>
      </c>
      <c r="C24" s="31"/>
      <c r="D24" s="41"/>
      <c r="E24" s="51"/>
      <c r="M24" s="31"/>
    </row>
    <row r="25" spans="1:14" ht="15.75" thickBot="1">
      <c r="A25" s="46" t="s">
        <v>132</v>
      </c>
      <c r="B25" s="47">
        <f>B8+B16+B23+B24</f>
        <v>45471.680959999998</v>
      </c>
      <c r="C25" s="46"/>
      <c r="D25" s="47">
        <f>D8+D16+D23</f>
        <v>57455.014228</v>
      </c>
      <c r="E25" s="59">
        <f>D25/B25-1</f>
        <v>0.26353398455934274</v>
      </c>
      <c r="G25" s="47">
        <f>G8+G16+G23</f>
        <v>57254.056000000004</v>
      </c>
      <c r="H25" s="34">
        <f>G25/D25-1</f>
        <v>-3.4976621396790586E-3</v>
      </c>
      <c r="K25" s="47">
        <f>K8+K16+K23</f>
        <v>60457.56426606993</v>
      </c>
      <c r="L25" s="48"/>
    </row>
    <row r="26" spans="1:14" ht="15.75" thickTop="1">
      <c r="A26" s="29" t="s">
        <v>133</v>
      </c>
      <c r="B26" s="35">
        <f>B25-B24</f>
        <v>48653.680959999998</v>
      </c>
      <c r="E26" s="60">
        <f>(E23+E16+E8)/B26</f>
        <v>0.18089758255363877</v>
      </c>
      <c r="F26" s="29" t="s">
        <v>134</v>
      </c>
      <c r="G26" s="35">
        <f>G25-D25</f>
        <v>-200.95822799999587</v>
      </c>
      <c r="H26" s="48">
        <f>G26/D25</f>
        <v>-3.4976621396790347E-3</v>
      </c>
      <c r="J26" s="32" t="s">
        <v>135</v>
      </c>
      <c r="K26" s="35">
        <f>K25-D25</f>
        <v>3002.5500380699305</v>
      </c>
      <c r="L26" s="34">
        <f>K26/D25</f>
        <v>5.2259147063385018E-2</v>
      </c>
    </row>
    <row r="27" spans="1:14" ht="15">
      <c r="F27" s="29"/>
      <c r="G27" s="35"/>
      <c r="J27" s="32" t="s">
        <v>136</v>
      </c>
      <c r="K27" s="35">
        <f>K25-G25</f>
        <v>3203.5082660699263</v>
      </c>
      <c r="L27" s="34">
        <f>K27/G25</f>
        <v>5.595251218655891E-2</v>
      </c>
    </row>
    <row r="28" spans="1:14" ht="15">
      <c r="F28" s="29"/>
      <c r="G28" s="34"/>
    </row>
    <row r="31" spans="1:14" ht="15">
      <c r="F31" s="29"/>
      <c r="G31" s="33"/>
    </row>
    <row r="32" spans="1:14">
      <c r="F32" s="29"/>
      <c r="G32" s="35"/>
    </row>
    <row r="33" spans="2:7">
      <c r="F33" s="29"/>
      <c r="G33" s="35"/>
    </row>
    <row r="41" spans="2:7">
      <c r="B41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2094-B857-43B8-9077-F3E97AE0E55A}">
  <dimension ref="A1:M34"/>
  <sheetViews>
    <sheetView workbookViewId="0">
      <selection activeCell="J14" sqref="J14"/>
    </sheetView>
  </sheetViews>
  <sheetFormatPr defaultRowHeight="15"/>
  <cols>
    <col min="1" max="1" width="25.140625" bestFit="1" customWidth="1"/>
    <col min="2" max="2" width="8" bestFit="1" customWidth="1"/>
    <col min="3" max="3" width="36.5703125" customWidth="1"/>
    <col min="4" max="4" width="9.5703125" bestFit="1" customWidth="1"/>
    <col min="5" max="5" width="10.42578125" bestFit="1" customWidth="1"/>
    <col min="6" max="6" width="14.28515625" customWidth="1"/>
    <col min="7" max="7" width="12.28515625" bestFit="1" customWidth="1"/>
    <col min="8" max="8" width="45" bestFit="1" customWidth="1"/>
    <col min="9" max="9" width="46.5703125" customWidth="1"/>
    <col min="10" max="10" width="11.5703125" bestFit="1" customWidth="1"/>
    <col min="11" max="11" width="16.85546875" bestFit="1" customWidth="1"/>
    <col min="12" max="12" width="11.5703125" bestFit="1" customWidth="1"/>
    <col min="13" max="13" width="51" bestFit="1" customWidth="1"/>
  </cols>
  <sheetData>
    <row r="1" spans="1:13">
      <c r="A1" s="67" t="s">
        <v>137</v>
      </c>
      <c r="B1" s="68" t="s">
        <v>138</v>
      </c>
      <c r="C1" s="67" t="s">
        <v>139</v>
      </c>
      <c r="D1" s="67" t="s">
        <v>140</v>
      </c>
      <c r="E1" s="67" t="s">
        <v>141</v>
      </c>
      <c r="F1" s="67" t="s">
        <v>142</v>
      </c>
      <c r="G1" s="67" t="s">
        <v>143</v>
      </c>
      <c r="H1" s="67" t="s">
        <v>144</v>
      </c>
      <c r="I1" s="69" t="s">
        <v>145</v>
      </c>
      <c r="J1" s="70" t="s">
        <v>146</v>
      </c>
      <c r="K1" s="67" t="s">
        <v>147</v>
      </c>
      <c r="L1" s="67" t="s">
        <v>148</v>
      </c>
      <c r="M1" s="71" t="s">
        <v>98</v>
      </c>
    </row>
    <row r="2" spans="1:13">
      <c r="A2" s="72" t="s">
        <v>21</v>
      </c>
      <c r="B2" s="73">
        <v>11</v>
      </c>
      <c r="C2" s="74" t="s">
        <v>37</v>
      </c>
      <c r="D2" s="75">
        <v>204</v>
      </c>
      <c r="E2" s="76" t="s">
        <v>149</v>
      </c>
      <c r="F2" s="74" t="s">
        <v>150</v>
      </c>
      <c r="G2" s="72" t="s">
        <v>151</v>
      </c>
      <c r="H2" s="74" t="s">
        <v>152</v>
      </c>
      <c r="I2" s="81" t="s">
        <v>153</v>
      </c>
      <c r="J2" s="77">
        <v>929</v>
      </c>
      <c r="K2" s="119"/>
      <c r="L2" s="78">
        <f>15000-J2</f>
        <v>14071</v>
      </c>
      <c r="M2" s="80"/>
    </row>
    <row r="3" spans="1:13">
      <c r="A3" s="72" t="s">
        <v>21</v>
      </c>
      <c r="B3" s="73">
        <v>16</v>
      </c>
      <c r="C3" s="74" t="s">
        <v>45</v>
      </c>
      <c r="D3" s="75">
        <v>47</v>
      </c>
      <c r="E3" s="76" t="s">
        <v>154</v>
      </c>
      <c r="F3" s="74" t="s">
        <v>155</v>
      </c>
      <c r="G3" s="74"/>
      <c r="H3" s="72" t="s">
        <v>156</v>
      </c>
      <c r="I3" s="121" t="s">
        <v>157</v>
      </c>
      <c r="J3" s="77">
        <v>765</v>
      </c>
      <c r="K3" s="119"/>
      <c r="L3" s="78">
        <f>L2-J3</f>
        <v>13306</v>
      </c>
      <c r="M3" s="80"/>
    </row>
    <row r="4" spans="1:13">
      <c r="A4" s="72" t="s">
        <v>21</v>
      </c>
      <c r="B4" s="73">
        <v>16</v>
      </c>
      <c r="C4" s="74" t="s">
        <v>45</v>
      </c>
      <c r="D4" s="75">
        <v>122</v>
      </c>
      <c r="E4" s="76" t="s">
        <v>158</v>
      </c>
      <c r="F4" s="74" t="s">
        <v>159</v>
      </c>
      <c r="G4" s="72" t="s">
        <v>160</v>
      </c>
      <c r="H4" s="72" t="s">
        <v>161</v>
      </c>
      <c r="I4" s="122"/>
      <c r="J4" s="77">
        <v>750</v>
      </c>
      <c r="K4" s="119"/>
      <c r="L4" s="78">
        <f>L3-J4</f>
        <v>12556</v>
      </c>
      <c r="M4" s="80"/>
    </row>
    <row r="5" spans="1:13">
      <c r="A5" s="72" t="s">
        <v>21</v>
      </c>
      <c r="B5" s="73">
        <v>16</v>
      </c>
      <c r="C5" s="74" t="s">
        <v>45</v>
      </c>
      <c r="D5" s="75">
        <v>205</v>
      </c>
      <c r="E5" s="76" t="s">
        <v>162</v>
      </c>
      <c r="F5" s="74" t="s">
        <v>163</v>
      </c>
      <c r="G5" s="72" t="s">
        <v>160</v>
      </c>
      <c r="H5" s="72" t="s">
        <v>164</v>
      </c>
      <c r="I5" s="123"/>
      <c r="J5" s="77">
        <v>1250</v>
      </c>
      <c r="K5" s="119"/>
      <c r="L5" s="78">
        <f>L6-J5</f>
        <v>7856</v>
      </c>
      <c r="M5" s="80"/>
    </row>
    <row r="6" spans="1:13">
      <c r="A6" s="72" t="s">
        <v>21</v>
      </c>
      <c r="B6" s="73">
        <v>16</v>
      </c>
      <c r="C6" s="74" t="s">
        <v>45</v>
      </c>
      <c r="D6" s="75">
        <v>154</v>
      </c>
      <c r="E6" s="76" t="s">
        <v>165</v>
      </c>
      <c r="F6" s="74" t="s">
        <v>166</v>
      </c>
      <c r="G6" s="72" t="s">
        <v>167</v>
      </c>
      <c r="H6" s="74" t="s">
        <v>168</v>
      </c>
      <c r="I6" s="124" t="s">
        <v>169</v>
      </c>
      <c r="J6" s="77">
        <v>3450</v>
      </c>
      <c r="K6" s="119"/>
      <c r="L6" s="78">
        <f>L4-J6</f>
        <v>9106</v>
      </c>
      <c r="M6" s="80"/>
    </row>
    <row r="7" spans="1:13">
      <c r="A7" s="72" t="s">
        <v>21</v>
      </c>
      <c r="B7" s="73">
        <v>16</v>
      </c>
      <c r="C7" s="74" t="s">
        <v>45</v>
      </c>
      <c r="D7" s="75">
        <v>208</v>
      </c>
      <c r="E7" s="76" t="s">
        <v>170</v>
      </c>
      <c r="F7" s="74" t="s">
        <v>171</v>
      </c>
      <c r="G7" s="72" t="s">
        <v>167</v>
      </c>
      <c r="H7" s="74" t="s">
        <v>168</v>
      </c>
      <c r="I7" s="123"/>
      <c r="J7" s="77">
        <v>3600</v>
      </c>
      <c r="K7" s="120"/>
      <c r="L7" s="82">
        <f>L5-J7</f>
        <v>4256</v>
      </c>
      <c r="M7" s="71" t="s">
        <v>172</v>
      </c>
    </row>
    <row r="8" spans="1:13">
      <c r="A8" s="74" t="s">
        <v>53</v>
      </c>
      <c r="B8" s="73">
        <v>20</v>
      </c>
      <c r="C8" s="74" t="s">
        <v>59</v>
      </c>
      <c r="D8" s="75">
        <v>102</v>
      </c>
      <c r="E8" s="76" t="s">
        <v>173</v>
      </c>
      <c r="F8" s="74" t="s">
        <v>174</v>
      </c>
      <c r="G8" s="74"/>
      <c r="H8" s="74" t="s">
        <v>175</v>
      </c>
      <c r="I8" s="125" t="s">
        <v>176</v>
      </c>
      <c r="J8" s="77">
        <v>1400</v>
      </c>
      <c r="K8" s="128" t="s">
        <v>177</v>
      </c>
      <c r="L8" s="78">
        <f>16000-J8</f>
        <v>14600</v>
      </c>
      <c r="M8" s="79" t="s">
        <v>178</v>
      </c>
    </row>
    <row r="9" spans="1:13">
      <c r="A9" s="74" t="s">
        <v>53</v>
      </c>
      <c r="B9" s="73">
        <v>20</v>
      </c>
      <c r="C9" s="74" t="s">
        <v>59</v>
      </c>
      <c r="D9" s="75">
        <v>103</v>
      </c>
      <c r="E9" s="76" t="s">
        <v>173</v>
      </c>
      <c r="F9" s="74" t="s">
        <v>179</v>
      </c>
      <c r="G9" s="74"/>
      <c r="H9" s="74" t="s">
        <v>180</v>
      </c>
      <c r="I9" s="126"/>
      <c r="J9" s="77">
        <v>700</v>
      </c>
      <c r="K9" s="129"/>
      <c r="L9" s="78">
        <f t="shared" ref="L9:L14" si="0">L8-J9</f>
        <v>13900</v>
      </c>
      <c r="M9" s="80"/>
    </row>
    <row r="10" spans="1:13">
      <c r="A10" s="74" t="s">
        <v>53</v>
      </c>
      <c r="B10" s="73">
        <v>20</v>
      </c>
      <c r="C10" s="74" t="s">
        <v>59</v>
      </c>
      <c r="D10" s="75">
        <v>123</v>
      </c>
      <c r="E10" s="76" t="s">
        <v>158</v>
      </c>
      <c r="F10" s="74" t="s">
        <v>181</v>
      </c>
      <c r="G10" s="74"/>
      <c r="H10" s="74" t="s">
        <v>180</v>
      </c>
      <c r="I10" s="126"/>
      <c r="J10" s="77">
        <v>525</v>
      </c>
      <c r="K10" s="129"/>
      <c r="L10" s="78">
        <f t="shared" si="0"/>
        <v>13375</v>
      </c>
      <c r="M10" s="80"/>
    </row>
    <row r="11" spans="1:13">
      <c r="A11" s="74" t="s">
        <v>53</v>
      </c>
      <c r="B11" s="73">
        <v>20</v>
      </c>
      <c r="C11" s="74" t="s">
        <v>59</v>
      </c>
      <c r="D11" s="75">
        <v>145</v>
      </c>
      <c r="E11" s="76" t="s">
        <v>182</v>
      </c>
      <c r="F11" s="74" t="s">
        <v>183</v>
      </c>
      <c r="G11" s="74"/>
      <c r="H11" s="74" t="s">
        <v>184</v>
      </c>
      <c r="I11" s="126"/>
      <c r="J11" s="77">
        <v>3710</v>
      </c>
      <c r="K11" s="129"/>
      <c r="L11" s="78">
        <f t="shared" si="0"/>
        <v>9665</v>
      </c>
      <c r="M11" s="80"/>
    </row>
    <row r="12" spans="1:13">
      <c r="A12" s="74" t="s">
        <v>53</v>
      </c>
      <c r="B12" s="73">
        <v>20</v>
      </c>
      <c r="C12" s="74" t="s">
        <v>59</v>
      </c>
      <c r="D12" s="75">
        <v>146</v>
      </c>
      <c r="E12" s="76" t="s">
        <v>185</v>
      </c>
      <c r="F12" s="74" t="s">
        <v>183</v>
      </c>
      <c r="G12" s="74"/>
      <c r="H12" s="74" t="s">
        <v>186</v>
      </c>
      <c r="I12" s="126"/>
      <c r="J12" s="77">
        <v>4600</v>
      </c>
      <c r="K12" s="129"/>
      <c r="L12" s="78">
        <f t="shared" si="0"/>
        <v>5065</v>
      </c>
      <c r="M12" s="80"/>
    </row>
    <row r="13" spans="1:13">
      <c r="A13" s="74" t="s">
        <v>53</v>
      </c>
      <c r="B13" s="73">
        <v>20</v>
      </c>
      <c r="C13" s="74" t="s">
        <v>59</v>
      </c>
      <c r="D13" s="75">
        <v>148</v>
      </c>
      <c r="E13" s="76" t="s">
        <v>185</v>
      </c>
      <c r="F13" s="74" t="s">
        <v>187</v>
      </c>
      <c r="G13" s="74"/>
      <c r="H13" s="74" t="s">
        <v>186</v>
      </c>
      <c r="I13" s="126"/>
      <c r="J13" s="77">
        <v>622.5</v>
      </c>
      <c r="K13" s="129"/>
      <c r="L13" s="78">
        <f t="shared" si="0"/>
        <v>4442.5</v>
      </c>
      <c r="M13" s="80"/>
    </row>
    <row r="14" spans="1:13">
      <c r="A14" s="74" t="s">
        <v>53</v>
      </c>
      <c r="B14" s="73">
        <v>27</v>
      </c>
      <c r="C14" s="74" t="s">
        <v>79</v>
      </c>
      <c r="D14" s="75">
        <v>234</v>
      </c>
      <c r="E14" s="76" t="s">
        <v>188</v>
      </c>
      <c r="F14" s="74" t="s">
        <v>189</v>
      </c>
      <c r="G14" s="74"/>
      <c r="H14" s="74" t="s">
        <v>190</v>
      </c>
      <c r="I14" s="127"/>
      <c r="J14" s="77">
        <v>2370</v>
      </c>
      <c r="K14" s="130"/>
      <c r="L14" s="82">
        <f t="shared" si="0"/>
        <v>2072.5</v>
      </c>
      <c r="M14" s="71" t="s">
        <v>148</v>
      </c>
    </row>
    <row r="15" spans="1:13">
      <c r="A15" s="1"/>
      <c r="B15" s="1"/>
      <c r="C15" s="1"/>
      <c r="D15" s="83"/>
      <c r="E15" s="84"/>
      <c r="F15" s="83"/>
      <c r="G15" s="83"/>
      <c r="H15" s="83"/>
      <c r="I15" s="85" t="s">
        <v>127</v>
      </c>
      <c r="J15" s="77">
        <f>SUM(J2:J14)</f>
        <v>24671.5</v>
      </c>
      <c r="K15" s="83"/>
      <c r="L15" s="83"/>
      <c r="M15" s="86"/>
    </row>
    <row r="24" spans="3:6" ht="23.25" thickBot="1">
      <c r="C24" s="88" t="s">
        <v>191</v>
      </c>
      <c r="D24" s="89" t="s">
        <v>192</v>
      </c>
      <c r="E24" s="89" t="s">
        <v>193</v>
      </c>
      <c r="F24" s="90" t="s">
        <v>194</v>
      </c>
    </row>
    <row r="25" spans="3:6" ht="15.75" thickBot="1">
      <c r="C25" s="91" t="s">
        <v>195</v>
      </c>
      <c r="D25" s="98">
        <v>20000</v>
      </c>
      <c r="E25" s="87"/>
      <c r="F25" s="97">
        <f>D25-E25</f>
        <v>20000</v>
      </c>
    </row>
    <row r="26" spans="3:6" ht="15.75" thickBot="1">
      <c r="C26" s="91" t="s">
        <v>196</v>
      </c>
      <c r="D26" s="98">
        <v>32000</v>
      </c>
      <c r="E26" s="87"/>
      <c r="F26" s="97">
        <f t="shared" ref="F26:F33" si="1">D26-E26</f>
        <v>32000</v>
      </c>
    </row>
    <row r="27" spans="3:6" ht="15.75" thickBot="1">
      <c r="C27" s="92" t="s">
        <v>197</v>
      </c>
      <c r="D27" s="98">
        <v>20000</v>
      </c>
      <c r="E27" s="87"/>
      <c r="F27" s="97">
        <f t="shared" si="1"/>
        <v>20000</v>
      </c>
    </row>
    <row r="28" spans="3:6" ht="15.75" thickBot="1">
      <c r="C28" s="91" t="s">
        <v>198</v>
      </c>
      <c r="D28" s="98">
        <v>15000</v>
      </c>
      <c r="E28" s="87"/>
      <c r="F28" s="97">
        <f t="shared" si="1"/>
        <v>15000</v>
      </c>
    </row>
    <row r="29" spans="3:6" ht="15.75" thickBot="1">
      <c r="C29" s="91" t="s">
        <v>199</v>
      </c>
      <c r="D29" s="98">
        <v>1406</v>
      </c>
      <c r="E29" s="87"/>
      <c r="F29" s="97">
        <f t="shared" si="1"/>
        <v>1406</v>
      </c>
    </row>
    <row r="30" spans="3:6" ht="15.75" thickBot="1">
      <c r="C30" s="91" t="s">
        <v>200</v>
      </c>
      <c r="D30" s="98">
        <v>15000</v>
      </c>
      <c r="E30" s="96">
        <f>SUM(J2:J7)</f>
        <v>10744</v>
      </c>
      <c r="F30" s="97">
        <f t="shared" si="1"/>
        <v>4256</v>
      </c>
    </row>
    <row r="31" spans="3:6" ht="15.75" thickBot="1">
      <c r="C31" s="91" t="s">
        <v>201</v>
      </c>
      <c r="D31" s="98">
        <v>8000</v>
      </c>
      <c r="E31" s="87"/>
      <c r="F31" s="97">
        <f t="shared" si="1"/>
        <v>8000</v>
      </c>
    </row>
    <row r="32" spans="3:6" ht="15.75" thickBot="1">
      <c r="C32" s="91" t="s">
        <v>202</v>
      </c>
      <c r="D32" s="98">
        <v>29583</v>
      </c>
      <c r="E32" s="87"/>
      <c r="F32" s="97">
        <f t="shared" si="1"/>
        <v>29583</v>
      </c>
    </row>
    <row r="33" spans="3:6" ht="15.75" thickBot="1">
      <c r="C33" s="91" t="s">
        <v>203</v>
      </c>
      <c r="D33" s="98">
        <v>16000</v>
      </c>
      <c r="E33" s="96">
        <f>SUM(J8:J14)</f>
        <v>13927.5</v>
      </c>
      <c r="F33" s="97">
        <f t="shared" si="1"/>
        <v>2072.5</v>
      </c>
    </row>
    <row r="34" spans="3:6">
      <c r="C34" s="93" t="s">
        <v>204</v>
      </c>
      <c r="D34" s="94" t="s">
        <v>205</v>
      </c>
      <c r="E34" s="94" t="s">
        <v>206</v>
      </c>
      <c r="F34" s="95" t="s">
        <v>207</v>
      </c>
    </row>
  </sheetData>
  <mergeCells count="5">
    <mergeCell ref="K2:K7"/>
    <mergeCell ref="I3:I5"/>
    <mergeCell ref="I6:I7"/>
    <mergeCell ref="I8:I14"/>
    <mergeCell ref="K8:K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DF693E1894D4B99E6EC0F1B5F930A" ma:contentTypeVersion="17" ma:contentTypeDescription="Create a new document." ma:contentTypeScope="" ma:versionID="e14d23dbd71e21e437b20db17563f566">
  <xsd:schema xmlns:xsd="http://www.w3.org/2001/XMLSchema" xmlns:xs="http://www.w3.org/2001/XMLSchema" xmlns:p="http://schemas.microsoft.com/office/2006/metadata/properties" xmlns:ns2="2e1260d3-3d1e-453b-8cb7-6a1e8b14d5ce" xmlns:ns3="cdb80f4a-3673-4919-bdc2-a24071a5a83a" targetNamespace="http://schemas.microsoft.com/office/2006/metadata/properties" ma:root="true" ma:fieldsID="f8b96383e29b9169824a9116e1045b01" ns2:_="" ns3:_="">
    <xsd:import namespace="2e1260d3-3d1e-453b-8cb7-6a1e8b14d5ce"/>
    <xsd:import namespace="cdb80f4a-3673-4919-bdc2-a24071a5a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60d3-3d1e-453b-8cb7-6a1e8b14d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42b7b0-fc7c-4606-9887-d3a5cb573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0f4a-3673-4919-bdc2-a24071a5a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d12ee0-98db-41a5-a1bd-801c4e8b515b}" ma:internalName="TaxCatchAll" ma:showField="CatchAllData" ma:web="cdb80f4a-3673-4919-bdc2-a24071a5a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260d3-3d1e-453b-8cb7-6a1e8b14d5ce">
      <Terms xmlns="http://schemas.microsoft.com/office/infopath/2007/PartnerControls"/>
    </lcf76f155ced4ddcb4097134ff3c332f>
    <TaxCatchAll xmlns="cdb80f4a-3673-4919-bdc2-a24071a5a8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945252-01CF-4804-BB86-E0381B76A626}"/>
</file>

<file path=customXml/itemProps2.xml><?xml version="1.0" encoding="utf-8"?>
<ds:datastoreItem xmlns:ds="http://schemas.openxmlformats.org/officeDocument/2006/customXml" ds:itemID="{23B7D056-7D0F-4705-98EE-F342A672539C}"/>
</file>

<file path=customXml/itemProps3.xml><?xml version="1.0" encoding="utf-8"?>
<ds:datastoreItem xmlns:ds="http://schemas.openxmlformats.org/officeDocument/2006/customXml" ds:itemID="{8E901876-7D9A-49F1-832E-1B0B0DDFD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Bryan</dc:creator>
  <cp:keywords/>
  <dc:description/>
  <cp:lastModifiedBy/>
  <cp:revision/>
  <dcterms:created xsi:type="dcterms:W3CDTF">2025-09-17T21:54:33Z</dcterms:created>
  <dcterms:modified xsi:type="dcterms:W3CDTF">2026-03-17T12:34:23Z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0x01010019ADF693E1894D4B99E6EC0F1B5F930A</vt:lpwstr>
  </property>
  <property fmtid="{D5CDD505-2E9C-101B-9397-08002B2CF9AE}" pid="3" name="MediaServiceImageTags">
    <vt:lpwstr/>
  </property>
</Properties>
</file>